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d663ea595fd92212/Sociétés/LEON/"/>
    </mc:Choice>
  </mc:AlternateContent>
  <xr:revisionPtr revIDLastSave="2" documentId="13_ncr:1_{D2E7A954-AE48-43EA-AD69-701D4E55C1BA}" xr6:coauthVersionLast="47" xr6:coauthVersionMax="47" xr10:uidLastSave="{13DF9485-D072-40A0-A152-E510B0CF43A2}"/>
  <bookViews>
    <workbookView xWindow="-110" yWindow="-110" windowWidth="25820" windowHeight="15500" tabRatio="889" activeTab="5" xr2:uid="{00000000-000D-0000-FFFF-FFFF00000000}"/>
  </bookViews>
  <sheets>
    <sheet name="Modèle de plan de trésorerie" sheetId="9" r:id="rId1"/>
    <sheet name="assumptions" sheetId="10" r:id="rId2"/>
    <sheet name="SINTESI" sheetId="11" r:id="rId3"/>
    <sheet name="Profit&amp;loss" sheetId="12" r:id="rId4"/>
    <sheet name="Balance Sheet" sheetId="13" r:id="rId5"/>
    <sheet name="Cash Flow" sheetId="14" r:id="rId6"/>
    <sheet name="BP Spirulina" sheetId="8" state="hidden" r:id="rId7"/>
  </sheets>
  <externalReferences>
    <externalReference r:id="rId8"/>
    <externalReference r:id="rId9"/>
  </externalReferences>
  <definedNames>
    <definedName name="Excel_BuiltIn_Print_Titles_2">"$#REF!.$A$11:$IG$30"</definedName>
    <definedName name="MESE">'[1]ACTvsBDG EL 2009'!$AH$1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I/Nbfkm5s7pfpSnKIGtaVJm2dVX/MRSvmJ0q7YcNbNg="/>
    </ext>
  </extLst>
</workbook>
</file>

<file path=xl/calcChain.xml><?xml version="1.0" encoding="utf-8"?>
<calcChain xmlns="http://schemas.openxmlformats.org/spreadsheetml/2006/main">
  <c r="K12" i="11" l="1"/>
  <c r="L12" i="11"/>
  <c r="M12" i="11"/>
  <c r="N12" i="11"/>
  <c r="N9" i="12" s="1"/>
  <c r="O12" i="11"/>
  <c r="O9" i="12" s="1"/>
  <c r="Q12" i="11"/>
  <c r="B14" i="11"/>
  <c r="K14" i="11"/>
  <c r="Q14" i="11" s="1"/>
  <c r="L14" i="11"/>
  <c r="M14" i="11"/>
  <c r="N14" i="11"/>
  <c r="O14" i="11"/>
  <c r="Q16" i="11"/>
  <c r="Q18" i="11"/>
  <c r="L163" i="10"/>
  <c r="K163" i="10"/>
  <c r="L148" i="10"/>
  <c r="K148" i="10"/>
  <c r="L147" i="10"/>
  <c r="L41" i="11" s="1"/>
  <c r="K147" i="10"/>
  <c r="K41" i="11" s="1"/>
  <c r="L145" i="10"/>
  <c r="M145" i="10"/>
  <c r="N145" i="10"/>
  <c r="O145" i="10"/>
  <c r="K145" i="10"/>
  <c r="L129" i="10"/>
  <c r="L34" i="11" s="1"/>
  <c r="M129" i="10"/>
  <c r="M34" i="11" s="1"/>
  <c r="N129" i="10"/>
  <c r="N34" i="11" s="1"/>
  <c r="O129" i="10"/>
  <c r="O34" i="11" s="1"/>
  <c r="K129" i="10"/>
  <c r="L121" i="10"/>
  <c r="L33" i="11" s="1"/>
  <c r="K121" i="10"/>
  <c r="K33" i="11" s="1"/>
  <c r="L95" i="10"/>
  <c r="K95" i="10"/>
  <c r="E66" i="9"/>
  <c r="K86" i="10"/>
  <c r="G34" i="9"/>
  <c r="O146" i="10" s="1"/>
  <c r="O40" i="11" s="1"/>
  <c r="G39" i="9"/>
  <c r="G66" i="9"/>
  <c r="O98" i="10" s="1"/>
  <c r="L15" i="10"/>
  <c r="K15" i="10"/>
  <c r="F1" i="14"/>
  <c r="K1" i="14"/>
  <c r="L1" i="14"/>
  <c r="M1" i="14"/>
  <c r="N1" i="14"/>
  <c r="O1" i="14"/>
  <c r="K3" i="14"/>
  <c r="K8" i="14"/>
  <c r="L8" i="14"/>
  <c r="M8" i="14"/>
  <c r="N8" i="14"/>
  <c r="O8" i="14"/>
  <c r="K9" i="14"/>
  <c r="L9" i="14"/>
  <c r="M9" i="14"/>
  <c r="N9" i="14"/>
  <c r="O9" i="14"/>
  <c r="K10" i="14"/>
  <c r="L10" i="14"/>
  <c r="M10" i="14"/>
  <c r="N10" i="14"/>
  <c r="O10" i="14"/>
  <c r="K11" i="14"/>
  <c r="L11" i="14"/>
  <c r="M11" i="14"/>
  <c r="N11" i="14"/>
  <c r="O11" i="14"/>
  <c r="K12" i="14"/>
  <c r="L12" i="14"/>
  <c r="F1" i="13"/>
  <c r="F2" i="13"/>
  <c r="F3" i="13"/>
  <c r="F7" i="13"/>
  <c r="F8" i="13"/>
  <c r="K8" i="13"/>
  <c r="L8" i="13"/>
  <c r="M8" i="13"/>
  <c r="N8" i="13"/>
  <c r="O8" i="13"/>
  <c r="F11" i="13"/>
  <c r="K11" i="13"/>
  <c r="F12" i="13"/>
  <c r="F16" i="13"/>
  <c r="F18" i="13"/>
  <c r="F19" i="13"/>
  <c r="F20" i="13"/>
  <c r="L1" i="12"/>
  <c r="M1" i="12" s="1"/>
  <c r="N1" i="12" s="1"/>
  <c r="O1" i="12" s="1"/>
  <c r="A5" i="12"/>
  <c r="N10" i="12"/>
  <c r="A11" i="12"/>
  <c r="K11" i="12"/>
  <c r="L11" i="12"/>
  <c r="M11" i="12"/>
  <c r="N11" i="12"/>
  <c r="O11" i="12"/>
  <c r="A12" i="12"/>
  <c r="K12" i="12"/>
  <c r="L12" i="12"/>
  <c r="M12" i="12"/>
  <c r="N12" i="12"/>
  <c r="O12" i="12"/>
  <c r="K1" i="11"/>
  <c r="L1" i="11" s="1"/>
  <c r="L112" i="11" s="1"/>
  <c r="B5" i="11"/>
  <c r="A3" i="12" s="1"/>
  <c r="K5" i="11"/>
  <c r="K3" i="12" s="1"/>
  <c r="L5" i="11"/>
  <c r="L3" i="12" s="1"/>
  <c r="M5" i="11"/>
  <c r="M3" i="12" s="1"/>
  <c r="N5" i="11"/>
  <c r="N3" i="12" s="1"/>
  <c r="O5" i="11"/>
  <c r="O3" i="12" s="1"/>
  <c r="Q5" i="11"/>
  <c r="B6" i="11"/>
  <c r="A4" i="12" s="1"/>
  <c r="K6" i="11"/>
  <c r="K4" i="12" s="1"/>
  <c r="L6" i="11"/>
  <c r="L4" i="12" s="1"/>
  <c r="M6" i="11"/>
  <c r="M4" i="12" s="1"/>
  <c r="N6" i="11"/>
  <c r="N4" i="12" s="1"/>
  <c r="O6" i="11"/>
  <c r="O4" i="12" s="1"/>
  <c r="K7" i="11"/>
  <c r="K5" i="12" s="1"/>
  <c r="L7" i="11"/>
  <c r="L5" i="12" s="1"/>
  <c r="M7" i="11"/>
  <c r="M5" i="12" s="1"/>
  <c r="N7" i="11"/>
  <c r="N5" i="12" s="1"/>
  <c r="O7" i="11"/>
  <c r="O5" i="12" s="1"/>
  <c r="L99" i="11"/>
  <c r="M9" i="12"/>
  <c r="N99" i="11"/>
  <c r="A10" i="12"/>
  <c r="O10" i="12"/>
  <c r="B28" i="11"/>
  <c r="B29" i="11"/>
  <c r="B30" i="11"/>
  <c r="B31" i="11"/>
  <c r="B32" i="11"/>
  <c r="B105" i="11" s="1"/>
  <c r="B33" i="11"/>
  <c r="B34" i="11"/>
  <c r="K34" i="11"/>
  <c r="B35" i="11"/>
  <c r="B36" i="11"/>
  <c r="B102" i="11" s="1"/>
  <c r="B37" i="11"/>
  <c r="B39" i="11"/>
  <c r="K39" i="11"/>
  <c r="B40" i="11"/>
  <c r="B41" i="11"/>
  <c r="B42" i="11"/>
  <c r="B46" i="11"/>
  <c r="K56" i="11"/>
  <c r="K64" i="11"/>
  <c r="K1" i="13" s="1"/>
  <c r="K16" i="13" s="1"/>
  <c r="J72" i="11"/>
  <c r="F9" i="13" s="1"/>
  <c r="K72" i="11"/>
  <c r="K9" i="13" s="1"/>
  <c r="L72" i="11"/>
  <c r="L51" i="11" s="1"/>
  <c r="L86" i="11" s="1"/>
  <c r="L7" i="14" s="1"/>
  <c r="J73" i="11"/>
  <c r="F10" i="13" s="1"/>
  <c r="K73" i="11"/>
  <c r="L73" i="11" s="1"/>
  <c r="L10" i="13" s="1"/>
  <c r="J76" i="11"/>
  <c r="J86" i="11"/>
  <c r="J92" i="11"/>
  <c r="J94" i="11"/>
  <c r="K97" i="11"/>
  <c r="J112" i="11"/>
  <c r="Q112" i="11"/>
  <c r="B114" i="11"/>
  <c r="Q114" i="11"/>
  <c r="K118" i="11"/>
  <c r="L118" i="11" s="1"/>
  <c r="M118" i="11" s="1"/>
  <c r="N118" i="11" s="1"/>
  <c r="O118" i="11" s="1"/>
  <c r="J122" i="11"/>
  <c r="J123" i="11"/>
  <c r="I124" i="11"/>
  <c r="J125" i="11"/>
  <c r="K125" i="11"/>
  <c r="J126" i="11"/>
  <c r="I127" i="11"/>
  <c r="Q127" i="11"/>
  <c r="Q133" i="11" s="1"/>
  <c r="I137" i="11" s="1"/>
  <c r="J142" i="11"/>
  <c r="I142" i="11" s="1"/>
  <c r="L142" i="11"/>
  <c r="M142" i="11" s="1"/>
  <c r="H145" i="11"/>
  <c r="H144" i="11" s="1"/>
  <c r="H143" i="11" s="1"/>
  <c r="H147" i="11"/>
  <c r="H148" i="11"/>
  <c r="H149" i="11" s="1"/>
  <c r="M1" i="10"/>
  <c r="N1" i="10"/>
  <c r="O1" i="10"/>
  <c r="K10" i="10"/>
  <c r="L10" i="10"/>
  <c r="M10" i="10"/>
  <c r="N10" i="10"/>
  <c r="O10" i="10"/>
  <c r="K12" i="10"/>
  <c r="K13" i="10" s="1"/>
  <c r="L12" i="10"/>
  <c r="L8" i="10" s="1"/>
  <c r="M12" i="10"/>
  <c r="M13" i="10" s="1"/>
  <c r="N12" i="10"/>
  <c r="N8" i="10" s="1"/>
  <c r="O12" i="10"/>
  <c r="K21" i="10"/>
  <c r="K24" i="10" s="1"/>
  <c r="K27" i="10" s="1"/>
  <c r="L21" i="10"/>
  <c r="L24" i="10" s="1"/>
  <c r="L27" i="10" s="1"/>
  <c r="M21" i="10"/>
  <c r="M24" i="10" s="1"/>
  <c r="M27" i="10" s="1"/>
  <c r="N21" i="10"/>
  <c r="N24" i="10" s="1"/>
  <c r="O21" i="10"/>
  <c r="O23" i="10" s="1"/>
  <c r="N23" i="10"/>
  <c r="O24" i="10"/>
  <c r="O27" i="10" s="1"/>
  <c r="H26" i="10"/>
  <c r="N27" i="10"/>
  <c r="K33" i="10"/>
  <c r="K35" i="10" s="1"/>
  <c r="L33" i="10"/>
  <c r="L35" i="10" s="1"/>
  <c r="M33" i="10"/>
  <c r="M35" i="10" s="1"/>
  <c r="N33" i="10"/>
  <c r="N35" i="10" s="1"/>
  <c r="O33" i="10"/>
  <c r="O36" i="10" s="1"/>
  <c r="O35" i="10"/>
  <c r="H38" i="10"/>
  <c r="K38" i="10"/>
  <c r="L38" i="10"/>
  <c r="M38" i="10"/>
  <c r="N38" i="10"/>
  <c r="O38" i="10" s="1"/>
  <c r="H39" i="10"/>
  <c r="K46" i="10"/>
  <c r="K49" i="10" s="1"/>
  <c r="L46" i="10"/>
  <c r="L49" i="10" s="1"/>
  <c r="M46" i="10"/>
  <c r="M49" i="10" s="1"/>
  <c r="N46" i="10"/>
  <c r="N49" i="10" s="1"/>
  <c r="O46" i="10"/>
  <c r="N48" i="10"/>
  <c r="O48" i="10"/>
  <c r="O49" i="10"/>
  <c r="H51" i="10"/>
  <c r="K51" i="10" s="1"/>
  <c r="H52" i="10"/>
  <c r="K59" i="10"/>
  <c r="K62" i="10" s="1"/>
  <c r="K66" i="10" s="1"/>
  <c r="L59" i="10"/>
  <c r="L62" i="10" s="1"/>
  <c r="L66" i="10" s="1"/>
  <c r="M59" i="10"/>
  <c r="M62" i="10" s="1"/>
  <c r="M66" i="10" s="1"/>
  <c r="N59" i="10"/>
  <c r="N61" i="10" s="1"/>
  <c r="O59" i="10"/>
  <c r="O61" i="10" s="1"/>
  <c r="K61" i="10"/>
  <c r="L61" i="10"/>
  <c r="M61" i="10"/>
  <c r="H64" i="10"/>
  <c r="K64" i="10" s="1"/>
  <c r="L64" i="10" s="1"/>
  <c r="M64" i="10" s="1"/>
  <c r="N64" i="10" s="1"/>
  <c r="O64" i="10" s="1"/>
  <c r="H65" i="10"/>
  <c r="K72" i="10"/>
  <c r="K74" i="10" s="1"/>
  <c r="L72" i="10"/>
  <c r="L74" i="10" s="1"/>
  <c r="M72" i="10"/>
  <c r="M74" i="10" s="1"/>
  <c r="N72" i="10"/>
  <c r="N74" i="10" s="1"/>
  <c r="O72" i="10"/>
  <c r="O74" i="10"/>
  <c r="O75" i="10"/>
  <c r="H77" i="10"/>
  <c r="K77" i="10"/>
  <c r="L77" i="10" s="1"/>
  <c r="M77" i="10" s="1"/>
  <c r="N77" i="10" s="1"/>
  <c r="O77" i="10" s="1"/>
  <c r="H78" i="10"/>
  <c r="K81" i="10"/>
  <c r="L81" i="10"/>
  <c r="M81" i="10"/>
  <c r="N81" i="10"/>
  <c r="O81" i="10"/>
  <c r="K82" i="10"/>
  <c r="L82" i="10"/>
  <c r="M82" i="10"/>
  <c r="N82" i="10"/>
  <c r="O82" i="10"/>
  <c r="K83" i="10"/>
  <c r="L83" i="10"/>
  <c r="M83" i="10"/>
  <c r="N83" i="10"/>
  <c r="O83" i="10"/>
  <c r="B86" i="10"/>
  <c r="B10" i="11" s="1"/>
  <c r="B99" i="11" s="1"/>
  <c r="B87" i="10"/>
  <c r="B12" i="11" s="1"/>
  <c r="A9" i="12" s="1"/>
  <c r="K106" i="10"/>
  <c r="L106" i="10" s="1"/>
  <c r="K113" i="10"/>
  <c r="L113" i="10" s="1"/>
  <c r="M113" i="10"/>
  <c r="N113" i="10" s="1"/>
  <c r="O113" i="10" s="1"/>
  <c r="H114" i="10"/>
  <c r="H115" i="10"/>
  <c r="H116" i="10"/>
  <c r="H117" i="10"/>
  <c r="H118" i="10"/>
  <c r="V118" i="10"/>
  <c r="M163" i="10"/>
  <c r="M165" i="10" s="1"/>
  <c r="N163" i="10"/>
  <c r="N165" i="10" s="1"/>
  <c r="O163" i="10"/>
  <c r="O165" i="10" s="1"/>
  <c r="K165" i="10"/>
  <c r="L165" i="10"/>
  <c r="K168" i="10"/>
  <c r="L168" i="10"/>
  <c r="M168" i="10"/>
  <c r="N168" i="10"/>
  <c r="O168" i="10"/>
  <c r="K169" i="10"/>
  <c r="L169" i="10"/>
  <c r="M169" i="10"/>
  <c r="N169" i="10"/>
  <c r="O169" i="10"/>
  <c r="K170" i="10"/>
  <c r="L170" i="10"/>
  <c r="M170" i="10"/>
  <c r="N170" i="10"/>
  <c r="O170" i="10"/>
  <c r="K171" i="10"/>
  <c r="L171" i="10"/>
  <c r="M171" i="10"/>
  <c r="N171" i="10"/>
  <c r="O171" i="10"/>
  <c r="K172" i="10"/>
  <c r="L172" i="10"/>
  <c r="M172" i="10"/>
  <c r="N172" i="10"/>
  <c r="O172" i="10"/>
  <c r="L175" i="10"/>
  <c r="M182" i="10" s="1"/>
  <c r="M175" i="10"/>
  <c r="J179" i="10"/>
  <c r="J182" i="10"/>
  <c r="J187" i="10" s="1"/>
  <c r="K182" i="10"/>
  <c r="J185" i="10"/>
  <c r="J186" i="10"/>
  <c r="K191" i="10"/>
  <c r="L191" i="10"/>
  <c r="M191" i="10"/>
  <c r="N191" i="10"/>
  <c r="O191" i="10"/>
  <c r="K10" i="11" l="1"/>
  <c r="K21" i="11" s="1"/>
  <c r="J184" i="10"/>
  <c r="M173" i="10"/>
  <c r="K173" i="10"/>
  <c r="K186" i="10" s="1"/>
  <c r="O79" i="10"/>
  <c r="N36" i="10"/>
  <c r="N40" i="10" s="1"/>
  <c r="N75" i="10"/>
  <c r="L36" i="10"/>
  <c r="M23" i="10"/>
  <c r="K75" i="10"/>
  <c r="K79" i="10" s="1"/>
  <c r="K36" i="10"/>
  <c r="L23" i="10"/>
  <c r="K23" i="10"/>
  <c r="O40" i="10"/>
  <c r="M36" i="10"/>
  <c r="M40" i="10" s="1"/>
  <c r="K48" i="10"/>
  <c r="L182" i="10"/>
  <c r="N182" i="10"/>
  <c r="M8" i="10"/>
  <c r="U175" i="10"/>
  <c r="O182" i="10"/>
  <c r="U182" i="10" s="1"/>
  <c r="K8" i="10"/>
  <c r="N13" i="10"/>
  <c r="N175" i="10"/>
  <c r="O175" i="10" s="1"/>
  <c r="M10" i="12"/>
  <c r="L10" i="12"/>
  <c r="K10" i="13"/>
  <c r="K112" i="11"/>
  <c r="Q4" i="12"/>
  <c r="K10" i="12"/>
  <c r="Q10" i="12" s="1"/>
  <c r="Q5" i="12"/>
  <c r="K51" i="11"/>
  <c r="K86" i="11" s="1"/>
  <c r="K7" i="14" s="1"/>
  <c r="L9" i="13"/>
  <c r="J77" i="11"/>
  <c r="F14" i="13" s="1"/>
  <c r="F13" i="13"/>
  <c r="M72" i="11"/>
  <c r="Q3" i="12"/>
  <c r="L173" i="10"/>
  <c r="L177" i="10" s="1"/>
  <c r="L82" i="11" s="1"/>
  <c r="O173" i="10"/>
  <c r="N173" i="10"/>
  <c r="N35" i="11"/>
  <c r="O102" i="10"/>
  <c r="O31" i="11" s="1"/>
  <c r="A8" i="12"/>
  <c r="L9" i="12"/>
  <c r="K100" i="11"/>
  <c r="K9" i="12"/>
  <c r="Q9" i="12" s="1"/>
  <c r="K8" i="12"/>
  <c r="K93" i="11"/>
  <c r="K14" i="14" s="1"/>
  <c r="J67" i="11"/>
  <c r="J124" i="11"/>
  <c r="J127" i="11" s="1"/>
  <c r="K99" i="11"/>
  <c r="O99" i="11"/>
  <c r="Q10" i="11"/>
  <c r="M99" i="11"/>
  <c r="M1" i="11"/>
  <c r="M177" i="10"/>
  <c r="M82" i="11" s="1"/>
  <c r="N79" i="10"/>
  <c r="L51" i="10"/>
  <c r="K53" i="10"/>
  <c r="K181" i="10"/>
  <c r="L105" i="10"/>
  <c r="M106" i="10"/>
  <c r="L167" i="10"/>
  <c r="U165" i="10"/>
  <c r="K105" i="10"/>
  <c r="O13" i="10"/>
  <c r="O8" i="10"/>
  <c r="U128" i="10"/>
  <c r="V128" i="10" s="1"/>
  <c r="L40" i="10"/>
  <c r="O62" i="10"/>
  <c r="O66" i="10" s="1"/>
  <c r="K40" i="10"/>
  <c r="N62" i="10"/>
  <c r="N66" i="10" s="1"/>
  <c r="K180" i="10"/>
  <c r="K167" i="10"/>
  <c r="K187" i="10"/>
  <c r="L187" i="10" s="1"/>
  <c r="M187" i="10" s="1"/>
  <c r="N187" i="10" s="1"/>
  <c r="O187" i="10" s="1"/>
  <c r="U187" i="10" s="1"/>
  <c r="M75" i="10"/>
  <c r="M79" i="10" s="1"/>
  <c r="M48" i="10"/>
  <c r="L13" i="10"/>
  <c r="L86" i="10" s="1"/>
  <c r="L10" i="11" s="1"/>
  <c r="K177" i="10"/>
  <c r="U172" i="10"/>
  <c r="L75" i="10"/>
  <c r="L79" i="10" s="1"/>
  <c r="L48" i="10"/>
  <c r="K179" i="10" l="1"/>
  <c r="K152" i="10" s="1"/>
  <c r="K48" i="11" s="1"/>
  <c r="K65" i="11" s="1"/>
  <c r="N177" i="10"/>
  <c r="N82" i="11" s="1"/>
  <c r="N125" i="11" s="1"/>
  <c r="O177" i="10"/>
  <c r="O82" i="11" s="1"/>
  <c r="O125" i="11" s="1"/>
  <c r="K13" i="12"/>
  <c r="K19" i="11"/>
  <c r="K13" i="11"/>
  <c r="K17" i="11"/>
  <c r="K15" i="11"/>
  <c r="J68" i="11"/>
  <c r="F5" i="13" s="1"/>
  <c r="F4" i="13"/>
  <c r="M51" i="11"/>
  <c r="M86" i="11" s="1"/>
  <c r="M7" i="14" s="1"/>
  <c r="N72" i="11"/>
  <c r="M9" i="13"/>
  <c r="K185" i="10"/>
  <c r="L125" i="11"/>
  <c r="L3" i="14"/>
  <c r="M125" i="11"/>
  <c r="M3" i="14"/>
  <c r="L139" i="10"/>
  <c r="L36" i="11" s="1"/>
  <c r="L102" i="11" s="1"/>
  <c r="L35" i="11"/>
  <c r="K108" i="11"/>
  <c r="K66" i="11" s="1"/>
  <c r="K3" i="13" s="1"/>
  <c r="L21" i="11"/>
  <c r="L8" i="12"/>
  <c r="L100" i="11"/>
  <c r="L108" i="11" s="1"/>
  <c r="L11" i="11"/>
  <c r="L22" i="11"/>
  <c r="K18" i="13"/>
  <c r="K11" i="11"/>
  <c r="Q21" i="11"/>
  <c r="N1" i="11"/>
  <c r="M112" i="11"/>
  <c r="L97" i="11"/>
  <c r="L64" i="11"/>
  <c r="L1" i="13" s="1"/>
  <c r="L16" i="13" s="1"/>
  <c r="J95" i="11"/>
  <c r="K184" i="10"/>
  <c r="M51" i="10"/>
  <c r="L53" i="10"/>
  <c r="L181" i="10"/>
  <c r="M181" i="10" s="1"/>
  <c r="N181" i="10" s="1"/>
  <c r="O181" i="10" s="1"/>
  <c r="U137" i="10"/>
  <c r="V175" i="10"/>
  <c r="M105" i="10"/>
  <c r="N106" i="10"/>
  <c r="M167" i="10"/>
  <c r="L180" i="10"/>
  <c r="O3" i="14" l="1"/>
  <c r="N3" i="14"/>
  <c r="L19" i="11"/>
  <c r="L17" i="11"/>
  <c r="L13" i="11"/>
  <c r="L15" i="11"/>
  <c r="N51" i="11"/>
  <c r="N86" i="11" s="1"/>
  <c r="N7" i="14" s="1"/>
  <c r="O72" i="11"/>
  <c r="N9" i="13"/>
  <c r="L185" i="10"/>
  <c r="K2" i="13"/>
  <c r="M35" i="11"/>
  <c r="O35" i="11"/>
  <c r="L66" i="11"/>
  <c r="L3" i="13" s="1"/>
  <c r="L18" i="13"/>
  <c r="L13" i="12"/>
  <c r="O1" i="11"/>
  <c r="N112" i="11"/>
  <c r="M97" i="11"/>
  <c r="M64" i="11"/>
  <c r="M1" i="13" s="1"/>
  <c r="M16" i="13" s="1"/>
  <c r="L28" i="11"/>
  <c r="L89" i="10"/>
  <c r="L179" i="10"/>
  <c r="L152" i="10" s="1"/>
  <c r="L48" i="11" s="1"/>
  <c r="L65" i="11" s="1"/>
  <c r="M180" i="10"/>
  <c r="K28" i="11"/>
  <c r="Q28" i="11" s="1"/>
  <c r="K89" i="10"/>
  <c r="U181" i="10"/>
  <c r="N105" i="10"/>
  <c r="O106" i="10"/>
  <c r="N167" i="10"/>
  <c r="N51" i="10"/>
  <c r="M53" i="10"/>
  <c r="L186" i="10"/>
  <c r="M186" i="10" s="1"/>
  <c r="N186" i="10" s="1"/>
  <c r="O186" i="10" s="1"/>
  <c r="U186" i="10" s="1"/>
  <c r="K91" i="10" l="1"/>
  <c r="K24" i="11" s="1"/>
  <c r="K90" i="10"/>
  <c r="O51" i="11"/>
  <c r="O86" i="11" s="1"/>
  <c r="O7" i="14" s="1"/>
  <c r="O9" i="13"/>
  <c r="L2" i="13"/>
  <c r="K139" i="10"/>
  <c r="K36" i="11" s="1"/>
  <c r="K102" i="11" s="1"/>
  <c r="K35" i="11"/>
  <c r="L14" i="12"/>
  <c r="N97" i="11"/>
  <c r="N64" i="11"/>
  <c r="N1" i="13" s="1"/>
  <c r="N16" i="13" s="1"/>
  <c r="O112" i="11"/>
  <c r="O51" i="10"/>
  <c r="O53" i="10" s="1"/>
  <c r="N53" i="10"/>
  <c r="O105" i="10"/>
  <c r="O167" i="10"/>
  <c r="V172" i="10"/>
  <c r="K42" i="11"/>
  <c r="L184" i="10"/>
  <c r="M185" i="10"/>
  <c r="K97" i="10"/>
  <c r="K96" i="10"/>
  <c r="K29" i="11" s="1"/>
  <c r="M179" i="10"/>
  <c r="M152" i="10" s="1"/>
  <c r="M48" i="11" s="1"/>
  <c r="M65" i="11" s="1"/>
  <c r="N180" i="10"/>
  <c r="L91" i="10"/>
  <c r="L24" i="11" s="1"/>
  <c r="L42" i="11"/>
  <c r="L39" i="11"/>
  <c r="L90" i="10"/>
  <c r="L23" i="11" s="1"/>
  <c r="L97" i="10"/>
  <c r="Q36" i="11" l="1"/>
  <c r="M2" i="13"/>
  <c r="L30" i="11"/>
  <c r="K23" i="11"/>
  <c r="K106" i="11" s="1"/>
  <c r="K30" i="11"/>
  <c r="L25" i="11"/>
  <c r="O97" i="11"/>
  <c r="O64" i="11"/>
  <c r="O1" i="13" s="1"/>
  <c r="O16" i="13" s="1"/>
  <c r="M184" i="10"/>
  <c r="N185" i="10"/>
  <c r="L96" i="10"/>
  <c r="L29" i="11" s="1"/>
  <c r="L106" i="11" s="1"/>
  <c r="M39" i="11"/>
  <c r="N179" i="10"/>
  <c r="N152" i="10" s="1"/>
  <c r="N48" i="11" s="1"/>
  <c r="N65" i="11" s="1"/>
  <c r="O180" i="10"/>
  <c r="O179" i="10" s="1"/>
  <c r="O152" i="10" s="1"/>
  <c r="O48" i="11" s="1"/>
  <c r="U180" i="10"/>
  <c r="N2" i="13" l="1"/>
  <c r="O65" i="11"/>
  <c r="O2" i="13" s="1"/>
  <c r="O39" i="11"/>
  <c r="N39" i="11"/>
  <c r="N184" i="10"/>
  <c r="O185" i="10"/>
  <c r="O184" i="10" l="1"/>
  <c r="U185" i="10"/>
  <c r="V165" i="10" s="1"/>
  <c r="D34" i="9" l="1"/>
  <c r="E34" i="9"/>
  <c r="F34" i="9"/>
  <c r="C34" i="9"/>
  <c r="D39" i="9"/>
  <c r="E39" i="9"/>
  <c r="F39" i="9"/>
  <c r="C39" i="9"/>
  <c r="D66" i="9"/>
  <c r="L98" i="10" s="1"/>
  <c r="L102" i="10" s="1"/>
  <c r="M98" i="10"/>
  <c r="M102" i="10" s="1"/>
  <c r="F66" i="9"/>
  <c r="N98" i="10" s="1"/>
  <c r="N102" i="10" s="1"/>
  <c r="C66" i="9"/>
  <c r="D25" i="9"/>
  <c r="E25" i="9"/>
  <c r="C25" i="9"/>
  <c r="E32" i="9"/>
  <c r="E33" i="9"/>
  <c r="E31" i="9"/>
  <c r="E30" i="9"/>
  <c r="E29" i="9"/>
  <c r="E28" i="9"/>
  <c r="E18" i="9"/>
  <c r="A899" i="8"/>
  <c r="A898" i="8"/>
  <c r="A897" i="8"/>
  <c r="A894" i="8"/>
  <c r="A893" i="8"/>
  <c r="D890" i="8"/>
  <c r="H876" i="8"/>
  <c r="D859" i="8"/>
  <c r="M851" i="8"/>
  <c r="L851" i="8"/>
  <c r="K851" i="8"/>
  <c r="J851" i="8"/>
  <c r="I851" i="8"/>
  <c r="H851" i="8"/>
  <c r="F851" i="8" s="1"/>
  <c r="A851" i="8"/>
  <c r="M850" i="8"/>
  <c r="L850" i="8"/>
  <c r="K850" i="8"/>
  <c r="F850" i="8" s="1"/>
  <c r="J850" i="8"/>
  <c r="I850" i="8"/>
  <c r="H850" i="8"/>
  <c r="A850" i="8"/>
  <c r="M849" i="8"/>
  <c r="L849" i="8"/>
  <c r="F849" i="8" s="1"/>
  <c r="K849" i="8"/>
  <c r="J849" i="8"/>
  <c r="I849" i="8"/>
  <c r="H849" i="8"/>
  <c r="A849" i="8"/>
  <c r="M848" i="8"/>
  <c r="L848" i="8"/>
  <c r="K848" i="8"/>
  <c r="J848" i="8"/>
  <c r="I848" i="8"/>
  <c r="H848" i="8"/>
  <c r="F848" i="8"/>
  <c r="A848" i="8"/>
  <c r="M847" i="8"/>
  <c r="L847" i="8"/>
  <c r="K847" i="8"/>
  <c r="J847" i="8"/>
  <c r="I847" i="8"/>
  <c r="H847" i="8"/>
  <c r="F847" i="8"/>
  <c r="A847" i="8"/>
  <c r="A846" i="8"/>
  <c r="M845" i="8"/>
  <c r="L845" i="8"/>
  <c r="K845" i="8"/>
  <c r="J845" i="8"/>
  <c r="I845" i="8"/>
  <c r="H845" i="8"/>
  <c r="E842" i="8" s="1"/>
  <c r="F845" i="8"/>
  <c r="C842" i="8" s="1"/>
  <c r="A844" i="8"/>
  <c r="C843" i="8"/>
  <c r="A843" i="8"/>
  <c r="A842" i="8"/>
  <c r="C841" i="8"/>
  <c r="A841" i="8"/>
  <c r="E840" i="8"/>
  <c r="C840" i="8"/>
  <c r="A840" i="8"/>
  <c r="M839" i="8"/>
  <c r="M846" i="8" s="1"/>
  <c r="M878" i="8" s="1"/>
  <c r="M894" i="8" s="1"/>
  <c r="L839" i="8"/>
  <c r="L846" i="8" s="1"/>
  <c r="L878" i="8" s="1"/>
  <c r="L894" i="8" s="1"/>
  <c r="K839" i="8"/>
  <c r="K846" i="8" s="1"/>
  <c r="K878" i="8" s="1"/>
  <c r="K894" i="8" s="1"/>
  <c r="J839" i="8"/>
  <c r="I839" i="8"/>
  <c r="I846" i="8" s="1"/>
  <c r="I878" i="8" s="1"/>
  <c r="I894" i="8" s="1"/>
  <c r="H839" i="8"/>
  <c r="F839" i="8"/>
  <c r="E838" i="8" s="1"/>
  <c r="A838" i="8"/>
  <c r="A837" i="8"/>
  <c r="A836" i="8"/>
  <c r="A835" i="8"/>
  <c r="C834" i="8"/>
  <c r="A834" i="8"/>
  <c r="M833" i="8"/>
  <c r="L833" i="8"/>
  <c r="K833" i="8"/>
  <c r="J833" i="8"/>
  <c r="J846" i="8" s="1"/>
  <c r="J878" i="8" s="1"/>
  <c r="J894" i="8" s="1"/>
  <c r="I833" i="8"/>
  <c r="H833" i="8"/>
  <c r="E829" i="8" s="1"/>
  <c r="F833" i="8"/>
  <c r="C829" i="8" s="1"/>
  <c r="C831" i="8"/>
  <c r="C830" i="8"/>
  <c r="D827" i="8"/>
  <c r="F818" i="8"/>
  <c r="F813" i="8"/>
  <c r="I810" i="8"/>
  <c r="J810" i="8" s="1"/>
  <c r="K810" i="8" s="1"/>
  <c r="L810" i="8" s="1"/>
  <c r="M810" i="8" s="1"/>
  <c r="H810" i="8"/>
  <c r="F805" i="8"/>
  <c r="F803" i="8"/>
  <c r="I802" i="8"/>
  <c r="H802" i="8"/>
  <c r="D801" i="8"/>
  <c r="I797" i="8"/>
  <c r="J797" i="8" s="1"/>
  <c r="K797" i="8" s="1"/>
  <c r="L797" i="8" s="1"/>
  <c r="M797" i="8" s="1"/>
  <c r="H797" i="8"/>
  <c r="F792" i="8"/>
  <c r="F795" i="8" s="1"/>
  <c r="F790" i="8"/>
  <c r="F791" i="8" s="1"/>
  <c r="F789" i="8"/>
  <c r="D787" i="8"/>
  <c r="J778" i="8"/>
  <c r="K778" i="8" s="1"/>
  <c r="L778" i="8" s="1"/>
  <c r="M778" i="8" s="1"/>
  <c r="D765" i="8"/>
  <c r="D749" i="8"/>
  <c r="D733" i="8"/>
  <c r="M727" i="8"/>
  <c r="L727" i="8"/>
  <c r="K727" i="8"/>
  <c r="J727" i="8"/>
  <c r="I727" i="8"/>
  <c r="F727" i="8" s="1"/>
  <c r="H727" i="8"/>
  <c r="D724" i="8"/>
  <c r="F710" i="8"/>
  <c r="M699" i="8"/>
  <c r="L699" i="8"/>
  <c r="K699" i="8"/>
  <c r="J699" i="8"/>
  <c r="I699" i="8"/>
  <c r="H699" i="8"/>
  <c r="F699" i="8" s="1"/>
  <c r="D697" i="8"/>
  <c r="D685" i="8"/>
  <c r="E664" i="8"/>
  <c r="H663" i="8"/>
  <c r="I663" i="8" s="1"/>
  <c r="J663" i="8" s="1"/>
  <c r="K663" i="8" s="1"/>
  <c r="L663" i="8" s="1"/>
  <c r="M663" i="8" s="1"/>
  <c r="H662" i="8"/>
  <c r="I662" i="8" s="1"/>
  <c r="M660" i="8"/>
  <c r="L660" i="8"/>
  <c r="E670" i="8" s="1"/>
  <c r="E679" i="8" s="1"/>
  <c r="K660" i="8"/>
  <c r="E669" i="8" s="1"/>
  <c r="E678" i="8" s="1"/>
  <c r="J660" i="8"/>
  <c r="E668" i="8" s="1"/>
  <c r="E677" i="8" s="1"/>
  <c r="I660" i="8"/>
  <c r="E667" i="8" s="1"/>
  <c r="E676" i="8" s="1"/>
  <c r="H660" i="8"/>
  <c r="F659" i="8"/>
  <c r="D658" i="8"/>
  <c r="E637" i="8"/>
  <c r="K636" i="8"/>
  <c r="L636" i="8" s="1"/>
  <c r="M636" i="8" s="1"/>
  <c r="J636" i="8"/>
  <c r="I636" i="8"/>
  <c r="H636" i="8"/>
  <c r="H635" i="8"/>
  <c r="I635" i="8" s="1"/>
  <c r="M632" i="8"/>
  <c r="I632" i="8"/>
  <c r="H632" i="8"/>
  <c r="K631" i="8"/>
  <c r="J631" i="8"/>
  <c r="M627" i="8"/>
  <c r="L627" i="8"/>
  <c r="L632" i="8" s="1"/>
  <c r="K627" i="8"/>
  <c r="K632" i="8" s="1"/>
  <c r="J627" i="8"/>
  <c r="J632" i="8" s="1"/>
  <c r="I627" i="8"/>
  <c r="H627" i="8"/>
  <c r="M626" i="8"/>
  <c r="M631" i="8" s="1"/>
  <c r="L626" i="8"/>
  <c r="L631" i="8" s="1"/>
  <c r="K626" i="8"/>
  <c r="J626" i="8"/>
  <c r="I626" i="8"/>
  <c r="I631" i="8" s="1"/>
  <c r="H626" i="8"/>
  <c r="F626" i="8" s="1"/>
  <c r="M624" i="8"/>
  <c r="L624" i="8"/>
  <c r="K624" i="8"/>
  <c r="J624" i="8"/>
  <c r="I624" i="8"/>
  <c r="H624" i="8"/>
  <c r="D620" i="8"/>
  <c r="M613" i="8"/>
  <c r="M612" i="8"/>
  <c r="M611" i="8"/>
  <c r="L611" i="8"/>
  <c r="L612" i="8" s="1"/>
  <c r="L613" i="8" s="1"/>
  <c r="K611" i="8"/>
  <c r="I611" i="8"/>
  <c r="F611" i="8"/>
  <c r="J610" i="8"/>
  <c r="I610" i="8"/>
  <c r="H610" i="8"/>
  <c r="H611" i="8" s="1"/>
  <c r="H612" i="8" s="1"/>
  <c r="H613" i="8" s="1"/>
  <c r="J609" i="8"/>
  <c r="J611" i="8" s="1"/>
  <c r="I609" i="8"/>
  <c r="H609" i="8"/>
  <c r="D608" i="8"/>
  <c r="E598" i="8"/>
  <c r="M593" i="8"/>
  <c r="L593" i="8"/>
  <c r="I593" i="8"/>
  <c r="H593" i="8"/>
  <c r="H598" i="8" s="1"/>
  <c r="L591" i="8"/>
  <c r="F591" i="8" s="1"/>
  <c r="L590" i="8"/>
  <c r="K590" i="8"/>
  <c r="F590" i="8"/>
  <c r="E589" i="8"/>
  <c r="M589" i="8" s="1"/>
  <c r="E588" i="8"/>
  <c r="E587" i="8"/>
  <c r="K587" i="8" s="1"/>
  <c r="H585" i="8"/>
  <c r="M582" i="8"/>
  <c r="L582" i="8"/>
  <c r="E597" i="8" s="1"/>
  <c r="K582" i="8"/>
  <c r="E596" i="8" s="1"/>
  <c r="J582" i="8"/>
  <c r="E595" i="8" s="1"/>
  <c r="I582" i="8"/>
  <c r="E594" i="8" s="1"/>
  <c r="H582" i="8"/>
  <c r="E593" i="8" s="1"/>
  <c r="F581" i="8"/>
  <c r="F580" i="8"/>
  <c r="M579" i="8"/>
  <c r="L579" i="8"/>
  <c r="E591" i="8" s="1"/>
  <c r="M591" i="8" s="1"/>
  <c r="K579" i="8"/>
  <c r="E590" i="8" s="1"/>
  <c r="M590" i="8" s="1"/>
  <c r="J579" i="8"/>
  <c r="J583" i="8" s="1"/>
  <c r="J869" i="8" s="1"/>
  <c r="I579" i="8"/>
  <c r="I583" i="8" s="1"/>
  <c r="I869" i="8" s="1"/>
  <c r="H579" i="8"/>
  <c r="H584" i="8" s="1"/>
  <c r="F579" i="8"/>
  <c r="F578" i="8"/>
  <c r="F577" i="8"/>
  <c r="D576" i="8"/>
  <c r="D558" i="8"/>
  <c r="F549" i="8"/>
  <c r="M548" i="8"/>
  <c r="L548" i="8"/>
  <c r="K548" i="8"/>
  <c r="J548" i="8"/>
  <c r="I548" i="8"/>
  <c r="M550" i="8" s="1"/>
  <c r="H548" i="8"/>
  <c r="M547" i="8"/>
  <c r="L547" i="8"/>
  <c r="K547" i="8"/>
  <c r="J547" i="8"/>
  <c r="I547" i="8"/>
  <c r="I550" i="8" s="1"/>
  <c r="H547" i="8"/>
  <c r="M546" i="8"/>
  <c r="L546" i="8"/>
  <c r="F553" i="8" s="1"/>
  <c r="L553" i="8" s="1"/>
  <c r="K546" i="8"/>
  <c r="F552" i="8" s="1"/>
  <c r="J546" i="8"/>
  <c r="F551" i="8" s="1"/>
  <c r="I546" i="8"/>
  <c r="F550" i="8" s="1"/>
  <c r="H546" i="8"/>
  <c r="K566" i="8" s="1"/>
  <c r="M539" i="8"/>
  <c r="L539" i="8"/>
  <c r="K539" i="8"/>
  <c r="J539" i="8"/>
  <c r="I539" i="8"/>
  <c r="H539" i="8"/>
  <c r="F535" i="8"/>
  <c r="D533" i="8"/>
  <c r="D506" i="8"/>
  <c r="F502" i="8"/>
  <c r="F501" i="8"/>
  <c r="D498" i="8"/>
  <c r="L493" i="8"/>
  <c r="M493" i="8" s="1"/>
  <c r="K493" i="8"/>
  <c r="J493" i="8"/>
  <c r="I493" i="8"/>
  <c r="L491" i="8"/>
  <c r="K491" i="8"/>
  <c r="J491" i="8"/>
  <c r="I491" i="8"/>
  <c r="H491" i="8"/>
  <c r="F491" i="8" s="1"/>
  <c r="L490" i="8"/>
  <c r="K490" i="8"/>
  <c r="J490" i="8"/>
  <c r="I490" i="8"/>
  <c r="H490" i="8"/>
  <c r="F490" i="8" s="1"/>
  <c r="L489" i="8"/>
  <c r="K489" i="8"/>
  <c r="J489" i="8"/>
  <c r="I489" i="8"/>
  <c r="H489" i="8"/>
  <c r="L488" i="8"/>
  <c r="K488" i="8"/>
  <c r="J488" i="8"/>
  <c r="I488" i="8"/>
  <c r="H488" i="8"/>
  <c r="F488" i="8"/>
  <c r="I487" i="8"/>
  <c r="H487" i="8"/>
  <c r="I486" i="8"/>
  <c r="H486" i="8"/>
  <c r="L485" i="8"/>
  <c r="K485" i="8"/>
  <c r="J485" i="8"/>
  <c r="I485" i="8"/>
  <c r="H485" i="8"/>
  <c r="F485" i="8"/>
  <c r="I482" i="8"/>
  <c r="I475" i="8"/>
  <c r="I473" i="8"/>
  <c r="H473" i="8"/>
  <c r="H472" i="8"/>
  <c r="H467" i="8"/>
  <c r="H466" i="8"/>
  <c r="I465" i="8"/>
  <c r="H465" i="8"/>
  <c r="H464" i="8"/>
  <c r="H454" i="8"/>
  <c r="H452" i="8"/>
  <c r="M450" i="8"/>
  <c r="L450" i="8"/>
  <c r="K450" i="8"/>
  <c r="J450" i="8"/>
  <c r="I450" i="8"/>
  <c r="H450" i="8"/>
  <c r="H449" i="8"/>
  <c r="F449" i="8"/>
  <c r="I442" i="8"/>
  <c r="J442" i="8" s="1"/>
  <c r="K442" i="8" s="1"/>
  <c r="L442" i="8" s="1"/>
  <c r="M442" i="8" s="1"/>
  <c r="I433" i="8"/>
  <c r="J433" i="8" s="1"/>
  <c r="K433" i="8" s="1"/>
  <c r="L433" i="8" s="1"/>
  <c r="M433" i="8" s="1"/>
  <c r="F431" i="8"/>
  <c r="E422" i="8"/>
  <c r="H421" i="8"/>
  <c r="F421" i="8"/>
  <c r="L412" i="8"/>
  <c r="M412" i="8" s="1"/>
  <c r="K412" i="8"/>
  <c r="J412" i="8"/>
  <c r="I412" i="8"/>
  <c r="I415" i="8" s="1"/>
  <c r="I417" i="8" s="1"/>
  <c r="I514" i="8" s="1"/>
  <c r="M409" i="8"/>
  <c r="K409" i="8"/>
  <c r="H409" i="8"/>
  <c r="I407" i="8"/>
  <c r="H407" i="8"/>
  <c r="F407" i="8"/>
  <c r="H404" i="8"/>
  <c r="H401" i="8"/>
  <c r="E401" i="8"/>
  <c r="B395" i="8"/>
  <c r="B393" i="8"/>
  <c r="B392" i="8"/>
  <c r="B391" i="8"/>
  <c r="E384" i="8"/>
  <c r="L383" i="8"/>
  <c r="M383" i="8" s="1"/>
  <c r="K383" i="8"/>
  <c r="J383" i="8"/>
  <c r="I383" i="8"/>
  <c r="H383" i="8"/>
  <c r="E382" i="8"/>
  <c r="L381" i="8"/>
  <c r="M381" i="8" s="1"/>
  <c r="H381" i="8"/>
  <c r="I381" i="8" s="1"/>
  <c r="J381" i="8" s="1"/>
  <c r="K381" i="8" s="1"/>
  <c r="A366" i="8"/>
  <c r="A365" i="8"/>
  <c r="A363" i="8"/>
  <c r="A358" i="8"/>
  <c r="A368" i="8" s="1"/>
  <c r="D356" i="8"/>
  <c r="A356" i="8"/>
  <c r="D355" i="8"/>
  <c r="D354" i="8"/>
  <c r="E354" i="8" s="1"/>
  <c r="D352" i="8"/>
  <c r="A347" i="8"/>
  <c r="A357" i="8" s="1"/>
  <c r="A367" i="8" s="1"/>
  <c r="A346" i="8"/>
  <c r="E345" i="8"/>
  <c r="D345" i="8"/>
  <c r="A345" i="8"/>
  <c r="A355" i="8" s="1"/>
  <c r="D344" i="8"/>
  <c r="A344" i="8"/>
  <c r="A354" i="8" s="1"/>
  <c r="A364" i="8" s="1"/>
  <c r="A343" i="8"/>
  <c r="A353" i="8" s="1"/>
  <c r="D342" i="8"/>
  <c r="A342" i="8"/>
  <c r="A352" i="8" s="1"/>
  <c r="A362" i="8" s="1"/>
  <c r="M339" i="8"/>
  <c r="L339" i="8"/>
  <c r="K339" i="8"/>
  <c r="J339" i="8"/>
  <c r="I339" i="8"/>
  <c r="H339" i="8"/>
  <c r="F338" i="8"/>
  <c r="A338" i="8"/>
  <c r="F337" i="8"/>
  <c r="F336" i="8"/>
  <c r="A336" i="8"/>
  <c r="F335" i="8"/>
  <c r="A335" i="8"/>
  <c r="H333" i="8"/>
  <c r="D328" i="8"/>
  <c r="F326" i="8"/>
  <c r="F325" i="8"/>
  <c r="F319" i="8"/>
  <c r="H318" i="8"/>
  <c r="D357" i="8" s="1"/>
  <c r="F318" i="8"/>
  <c r="F316" i="8"/>
  <c r="I315" i="8"/>
  <c r="J315" i="8" s="1"/>
  <c r="F315" i="8"/>
  <c r="J312" i="8"/>
  <c r="I312" i="8"/>
  <c r="M311" i="8"/>
  <c r="L311" i="8"/>
  <c r="I311" i="8"/>
  <c r="J311" i="8" s="1"/>
  <c r="H310" i="8"/>
  <c r="L309" i="8"/>
  <c r="I309" i="8"/>
  <c r="M309" i="8" s="1"/>
  <c r="F309" i="8"/>
  <c r="E289" i="8"/>
  <c r="H288" i="8"/>
  <c r="M287" i="8"/>
  <c r="L287" i="8"/>
  <c r="K287" i="8"/>
  <c r="J287" i="8"/>
  <c r="F287" i="8" s="1"/>
  <c r="I287" i="8"/>
  <c r="J286" i="8"/>
  <c r="K286" i="8" s="1"/>
  <c r="L286" i="8" s="1"/>
  <c r="M286" i="8" s="1"/>
  <c r="J285" i="8"/>
  <c r="I285" i="8"/>
  <c r="H284" i="8"/>
  <c r="J281" i="8"/>
  <c r="K281" i="8" s="1"/>
  <c r="L281" i="8" s="1"/>
  <c r="M281" i="8" s="1"/>
  <c r="I281" i="8"/>
  <c r="A280" i="8"/>
  <c r="L279" i="8"/>
  <c r="M279" i="8" s="1"/>
  <c r="K279" i="8"/>
  <c r="E279" i="8"/>
  <c r="H279" i="8" s="1"/>
  <c r="I279" i="8" s="1"/>
  <c r="J279" i="8" s="1"/>
  <c r="A279" i="8"/>
  <c r="D275" i="8"/>
  <c r="E274" i="8"/>
  <c r="D274" i="8"/>
  <c r="D273" i="8"/>
  <c r="E273" i="8" s="1"/>
  <c r="D272" i="8"/>
  <c r="F271" i="8"/>
  <c r="H271" i="8" s="1"/>
  <c r="E271" i="8"/>
  <c r="D271" i="8"/>
  <c r="E270" i="8"/>
  <c r="H269" i="8"/>
  <c r="F269" i="8"/>
  <c r="F248" i="8"/>
  <c r="H227" i="8"/>
  <c r="H211" i="8"/>
  <c r="A186" i="8"/>
  <c r="A185" i="8"/>
  <c r="A176" i="8"/>
  <c r="A241" i="8" s="1"/>
  <c r="A259" i="8" s="1"/>
  <c r="H172" i="8"/>
  <c r="E169" i="8"/>
  <c r="E168" i="8"/>
  <c r="B168" i="8"/>
  <c r="E167" i="8"/>
  <c r="E166" i="8"/>
  <c r="B163" i="8"/>
  <c r="B162" i="8"/>
  <c r="D157" i="8"/>
  <c r="C157" i="8"/>
  <c r="B157" i="8"/>
  <c r="E156" i="8"/>
  <c r="E155" i="8"/>
  <c r="F154" i="8"/>
  <c r="E154" i="8"/>
  <c r="E153" i="8"/>
  <c r="F153" i="8" s="1"/>
  <c r="E152" i="8"/>
  <c r="H152" i="8" s="1"/>
  <c r="E151" i="8"/>
  <c r="H151" i="8" s="1"/>
  <c r="E150" i="8"/>
  <c r="H149" i="8"/>
  <c r="J149" i="8" s="1"/>
  <c r="F149" i="8"/>
  <c r="E149" i="8"/>
  <c r="F148" i="8"/>
  <c r="E148" i="8"/>
  <c r="J145" i="8"/>
  <c r="K145" i="8" s="1"/>
  <c r="L145" i="8" s="1"/>
  <c r="M145" i="8" s="1"/>
  <c r="I145" i="8"/>
  <c r="E142" i="8"/>
  <c r="D142" i="8"/>
  <c r="J141" i="8"/>
  <c r="D141" i="8"/>
  <c r="J140" i="8"/>
  <c r="E140" i="8"/>
  <c r="F140" i="8" s="1"/>
  <c r="H140" i="8" s="1"/>
  <c r="D140" i="8"/>
  <c r="B167" i="8" s="1"/>
  <c r="E139" i="8"/>
  <c r="D139" i="8"/>
  <c r="E138" i="8"/>
  <c r="D138" i="8"/>
  <c r="E137" i="8"/>
  <c r="D137" i="8"/>
  <c r="B164" i="8" s="1"/>
  <c r="J136" i="8"/>
  <c r="D136" i="8"/>
  <c r="E135" i="8"/>
  <c r="D135" i="8"/>
  <c r="E134" i="8"/>
  <c r="D134" i="8"/>
  <c r="I131" i="8"/>
  <c r="H130" i="8"/>
  <c r="H128" i="8"/>
  <c r="H127" i="8"/>
  <c r="H126" i="8"/>
  <c r="H125" i="8"/>
  <c r="E124" i="8"/>
  <c r="E136" i="8" s="1"/>
  <c r="F136" i="8" s="1"/>
  <c r="H136" i="8" s="1"/>
  <c r="I123" i="8"/>
  <c r="H123" i="8"/>
  <c r="H122" i="8"/>
  <c r="H119" i="8"/>
  <c r="D117" i="8"/>
  <c r="E116" i="8"/>
  <c r="D116" i="8"/>
  <c r="F116" i="8" s="1"/>
  <c r="H116" i="8" s="1"/>
  <c r="D115" i="8"/>
  <c r="E114" i="8"/>
  <c r="D114" i="8"/>
  <c r="D113" i="8"/>
  <c r="E112" i="8"/>
  <c r="D112" i="8"/>
  <c r="F112" i="8" s="1"/>
  <c r="H112" i="8" s="1"/>
  <c r="D111" i="8"/>
  <c r="F110" i="8"/>
  <c r="H110" i="8" s="1"/>
  <c r="E110" i="8"/>
  <c r="D110" i="8"/>
  <c r="E109" i="8"/>
  <c r="D109" i="8"/>
  <c r="F109" i="8" s="1"/>
  <c r="H109" i="8" s="1"/>
  <c r="I106" i="8"/>
  <c r="J106" i="8" s="1"/>
  <c r="E104" i="8"/>
  <c r="H104" i="8" s="1"/>
  <c r="I104" i="8" s="1"/>
  <c r="J104" i="8" s="1"/>
  <c r="E103" i="8"/>
  <c r="H102" i="8"/>
  <c r="I102" i="8" s="1"/>
  <c r="J102" i="8" s="1"/>
  <c r="H100" i="8"/>
  <c r="I100" i="8" s="1"/>
  <c r="J100" i="8" s="1"/>
  <c r="K100" i="8" s="1"/>
  <c r="L100" i="8" s="1"/>
  <c r="M100" i="8" s="1"/>
  <c r="E100" i="8"/>
  <c r="H98" i="8"/>
  <c r="I98" i="8" s="1"/>
  <c r="J98" i="8" s="1"/>
  <c r="K98" i="8" s="1"/>
  <c r="L98" i="8" s="1"/>
  <c r="M98" i="8" s="1"/>
  <c r="I97" i="8"/>
  <c r="J97" i="8" s="1"/>
  <c r="K97" i="8" s="1"/>
  <c r="L97" i="8" s="1"/>
  <c r="M97" i="8" s="1"/>
  <c r="H97" i="8"/>
  <c r="E89" i="8"/>
  <c r="F89" i="8" s="1"/>
  <c r="H89" i="8" s="1"/>
  <c r="H87" i="8"/>
  <c r="I83" i="8"/>
  <c r="J83" i="8" s="1"/>
  <c r="E82" i="8"/>
  <c r="E94" i="8" s="1"/>
  <c r="F94" i="8" s="1"/>
  <c r="H94" i="8" s="1"/>
  <c r="E80" i="8"/>
  <c r="H78" i="8"/>
  <c r="E78" i="8"/>
  <c r="E90" i="8" s="1"/>
  <c r="F90" i="8" s="1"/>
  <c r="H90" i="8" s="1"/>
  <c r="H77" i="8"/>
  <c r="I77" i="8" s="1"/>
  <c r="J77" i="8" s="1"/>
  <c r="E77" i="8"/>
  <c r="E75" i="8"/>
  <c r="E87" i="8" s="1"/>
  <c r="F87" i="8" s="1"/>
  <c r="E74" i="8"/>
  <c r="H74" i="8" s="1"/>
  <c r="A74" i="8"/>
  <c r="I71" i="8"/>
  <c r="E70" i="8"/>
  <c r="H70" i="8" s="1"/>
  <c r="E69" i="8"/>
  <c r="H69" i="8" s="1"/>
  <c r="E68" i="8"/>
  <c r="H68" i="8" s="1"/>
  <c r="E67" i="8"/>
  <c r="H67" i="8" s="1"/>
  <c r="I66" i="8"/>
  <c r="H66" i="8"/>
  <c r="E66" i="8"/>
  <c r="E79" i="8" s="1"/>
  <c r="I65" i="8"/>
  <c r="H65" i="8"/>
  <c r="E65" i="8"/>
  <c r="E101" i="8" s="1"/>
  <c r="I64" i="8"/>
  <c r="H64" i="8"/>
  <c r="E64" i="8"/>
  <c r="E63" i="8"/>
  <c r="H63" i="8" s="1"/>
  <c r="I63" i="8" s="1"/>
  <c r="I62" i="8"/>
  <c r="H62" i="8"/>
  <c r="E62" i="8"/>
  <c r="E61" i="8"/>
  <c r="H61" i="8" s="1"/>
  <c r="I61" i="8" s="1"/>
  <c r="A61" i="8"/>
  <c r="H58" i="8"/>
  <c r="H46" i="8"/>
  <c r="A45" i="8"/>
  <c r="H40" i="8"/>
  <c r="M37" i="8"/>
  <c r="L37" i="8"/>
  <c r="K37" i="8"/>
  <c r="J37" i="8"/>
  <c r="I37" i="8"/>
  <c r="H37" i="8"/>
  <c r="A35" i="8"/>
  <c r="A49" i="8" s="1"/>
  <c r="A34" i="8"/>
  <c r="A48" i="8" s="1"/>
  <c r="A33" i="8"/>
  <c r="A47" i="8" s="1"/>
  <c r="A32" i="8"/>
  <c r="A46" i="8" s="1"/>
  <c r="I27" i="8"/>
  <c r="H27" i="8"/>
  <c r="A27" i="8"/>
  <c r="A41" i="8" s="1"/>
  <c r="H26" i="8"/>
  <c r="A24" i="8"/>
  <c r="A36" i="8" s="1"/>
  <c r="A50" i="8" s="1"/>
  <c r="A70" i="8" s="1"/>
  <c r="A23" i="8"/>
  <c r="A22" i="8"/>
  <c r="B21" i="8"/>
  <c r="A21" i="8"/>
  <c r="A20" i="8"/>
  <c r="A19" i="8"/>
  <c r="A31" i="8" s="1"/>
  <c r="A18" i="8"/>
  <c r="A30" i="8" s="1"/>
  <c r="A44" i="8" s="1"/>
  <c r="B17" i="8"/>
  <c r="A17" i="8"/>
  <c r="A29" i="8" s="1"/>
  <c r="A43" i="8" s="1"/>
  <c r="A16" i="8"/>
  <c r="A28" i="8" s="1"/>
  <c r="A42" i="8" s="1"/>
  <c r="A15" i="8"/>
  <c r="I13" i="8"/>
  <c r="J13" i="8" s="1"/>
  <c r="K13" i="8" s="1"/>
  <c r="L13" i="8" s="1"/>
  <c r="M13" i="8" s="1"/>
  <c r="H13" i="8"/>
  <c r="H12" i="8"/>
  <c r="I12" i="8" s="1"/>
  <c r="H11" i="8"/>
  <c r="I11" i="8" s="1"/>
  <c r="H9" i="8"/>
  <c r="H32" i="8" s="1"/>
  <c r="H8" i="8"/>
  <c r="H7" i="8"/>
  <c r="H5" i="8"/>
  <c r="I5" i="8" s="1"/>
  <c r="I4" i="8"/>
  <c r="J4" i="8" s="1"/>
  <c r="H4" i="8"/>
  <c r="I2" i="8"/>
  <c r="M326" i="8"/>
  <c r="L326" i="8"/>
  <c r="K326" i="8"/>
  <c r="I326" i="8"/>
  <c r="J326" i="8"/>
  <c r="K325" i="8"/>
  <c r="L325" i="8"/>
  <c r="F18" i="9" l="1"/>
  <c r="M15" i="10"/>
  <c r="M86" i="10" s="1"/>
  <c r="F29" i="9"/>
  <c r="M121" i="10"/>
  <c r="K146" i="10"/>
  <c r="K40" i="11" s="1"/>
  <c r="K103" i="11" s="1"/>
  <c r="F30" i="9"/>
  <c r="M148" i="10"/>
  <c r="M42" i="11" s="1"/>
  <c r="N146" i="10"/>
  <c r="N40" i="11" s="1"/>
  <c r="F31" i="9"/>
  <c r="M147" i="10"/>
  <c r="M41" i="11" s="1"/>
  <c r="M146" i="10"/>
  <c r="M40" i="11" s="1"/>
  <c r="M103" i="11" s="1"/>
  <c r="L146" i="10"/>
  <c r="L40" i="11" s="1"/>
  <c r="L103" i="11" s="1"/>
  <c r="F28" i="9"/>
  <c r="F85" i="9" s="1"/>
  <c r="M95" i="10"/>
  <c r="N31" i="11"/>
  <c r="M31" i="11"/>
  <c r="C85" i="9"/>
  <c r="C86" i="9" s="1"/>
  <c r="K98" i="10"/>
  <c r="K102" i="10" s="1"/>
  <c r="L31" i="11"/>
  <c r="L103" i="10"/>
  <c r="D85" i="9"/>
  <c r="E85" i="9"/>
  <c r="L328" i="8"/>
  <c r="K328" i="8"/>
  <c r="J63" i="8"/>
  <c r="J123" i="8"/>
  <c r="K123" i="8" s="1"/>
  <c r="L123" i="8" s="1"/>
  <c r="M123" i="8" s="1"/>
  <c r="J69" i="8"/>
  <c r="M551" i="8"/>
  <c r="L551" i="8"/>
  <c r="K551" i="8"/>
  <c r="A204" i="8"/>
  <c r="A218" i="8" s="1"/>
  <c r="A66" i="8"/>
  <c r="A190" i="8"/>
  <c r="A178" i="8"/>
  <c r="A243" i="8" s="1"/>
  <c r="A261" i="8" s="1"/>
  <c r="A177" i="8"/>
  <c r="A242" i="8" s="1"/>
  <c r="A260" i="8" s="1"/>
  <c r="A189" i="8"/>
  <c r="A65" i="8"/>
  <c r="A203" i="8"/>
  <c r="A217" i="8" s="1"/>
  <c r="J137" i="8"/>
  <c r="I78" i="8"/>
  <c r="J12" i="8"/>
  <c r="I35" i="8"/>
  <c r="I49" i="8" s="1"/>
  <c r="F151" i="8"/>
  <c r="H289" i="8"/>
  <c r="H194" i="8"/>
  <c r="K77" i="8"/>
  <c r="A192" i="8"/>
  <c r="A68" i="8"/>
  <c r="A81" i="8" s="1"/>
  <c r="A180" i="8"/>
  <c r="H382" i="8"/>
  <c r="I382" i="8" s="1"/>
  <c r="E386" i="8"/>
  <c r="I152" i="8"/>
  <c r="M552" i="8"/>
  <c r="L552" i="8"/>
  <c r="K552" i="8"/>
  <c r="H82" i="8"/>
  <c r="H124" i="8"/>
  <c r="I124" i="8" s="1"/>
  <c r="J124" i="8" s="1"/>
  <c r="K124" i="8" s="1"/>
  <c r="L124" i="8" s="1"/>
  <c r="M124" i="8" s="1"/>
  <c r="J152" i="8"/>
  <c r="J142" i="8"/>
  <c r="F142" i="8"/>
  <c r="H142" i="8" s="1"/>
  <c r="B169" i="8"/>
  <c r="F554" i="8"/>
  <c r="E272" i="8"/>
  <c r="F270" i="8"/>
  <c r="J11" i="8"/>
  <c r="I34" i="8"/>
  <c r="A206" i="8"/>
  <c r="H79" i="8"/>
  <c r="H153" i="8"/>
  <c r="E91" i="8"/>
  <c r="F91" i="8" s="1"/>
  <c r="H91" i="8" s="1"/>
  <c r="I74" i="8"/>
  <c r="E161" i="8"/>
  <c r="K102" i="8"/>
  <c r="L102" i="8" s="1"/>
  <c r="M102" i="8" s="1"/>
  <c r="A175" i="8"/>
  <c r="A240" i="8" s="1"/>
  <c r="A258" i="8" s="1"/>
  <c r="A201" i="8"/>
  <c r="A215" i="8" s="1"/>
  <c r="A63" i="8"/>
  <c r="A187" i="8"/>
  <c r="K4" i="8"/>
  <c r="J27" i="8"/>
  <c r="M490" i="8"/>
  <c r="M489" i="8"/>
  <c r="M491" i="8"/>
  <c r="M488" i="8"/>
  <c r="M485" i="8"/>
  <c r="E165" i="8"/>
  <c r="K106" i="8"/>
  <c r="L106" i="8" s="1"/>
  <c r="M106" i="8" s="1"/>
  <c r="F137" i="8"/>
  <c r="H137" i="8" s="1"/>
  <c r="I288" i="8"/>
  <c r="E99" i="8"/>
  <c r="E76" i="8"/>
  <c r="L354" i="8"/>
  <c r="L345" i="8"/>
  <c r="F339" i="8"/>
  <c r="H354" i="8"/>
  <c r="I151" i="8"/>
  <c r="J151" i="8" s="1"/>
  <c r="J354" i="8"/>
  <c r="I58" i="8"/>
  <c r="J2" i="8"/>
  <c r="A62" i="8"/>
  <c r="A174" i="8"/>
  <c r="A239" i="8" s="1"/>
  <c r="A257" i="8" s="1"/>
  <c r="A200" i="8"/>
  <c r="A214" i="8" s="1"/>
  <c r="I28" i="8"/>
  <c r="I42" i="8" s="1"/>
  <c r="J5" i="8"/>
  <c r="J551" i="8"/>
  <c r="A179" i="8"/>
  <c r="A191" i="8"/>
  <c r="A67" i="8"/>
  <c r="A80" i="8" s="1"/>
  <c r="A205" i="8"/>
  <c r="I428" i="8"/>
  <c r="I484" i="8"/>
  <c r="I481" i="8"/>
  <c r="I492" i="8" s="1"/>
  <c r="I516" i="8" s="1"/>
  <c r="I737" i="8" s="1"/>
  <c r="I430" i="8"/>
  <c r="I429" i="8"/>
  <c r="A64" i="8"/>
  <c r="A188" i="8"/>
  <c r="A148" i="8"/>
  <c r="A122" i="8"/>
  <c r="A134" i="8" s="1"/>
  <c r="E115" i="8"/>
  <c r="F115" i="8" s="1"/>
  <c r="H115" i="8" s="1"/>
  <c r="H103" i="8"/>
  <c r="I103" i="8" s="1"/>
  <c r="J103" i="8" s="1"/>
  <c r="I9" i="8"/>
  <c r="A181" i="8"/>
  <c r="A193" i="8"/>
  <c r="A207" i="8"/>
  <c r="J61" i="8"/>
  <c r="F328" i="8"/>
  <c r="I41" i="8"/>
  <c r="I130" i="8"/>
  <c r="J130" i="8" s="1"/>
  <c r="K130" i="8" s="1"/>
  <c r="L130" i="8" s="1"/>
  <c r="M130" i="8" s="1"/>
  <c r="I122" i="8"/>
  <c r="J122" i="8" s="1"/>
  <c r="K122" i="8" s="1"/>
  <c r="L122" i="8" s="1"/>
  <c r="M122" i="8" s="1"/>
  <c r="I7" i="8"/>
  <c r="H30" i="8"/>
  <c r="M553" i="8"/>
  <c r="K104" i="8"/>
  <c r="L104" i="8" s="1"/>
  <c r="M104" i="8" s="1"/>
  <c r="E163" i="8"/>
  <c r="I126" i="8"/>
  <c r="J126" i="8" s="1"/>
  <c r="K126" i="8" s="1"/>
  <c r="L126" i="8" s="1"/>
  <c r="M126" i="8" s="1"/>
  <c r="A69" i="8"/>
  <c r="A82" i="8" s="1"/>
  <c r="E105" i="8"/>
  <c r="I149" i="8"/>
  <c r="H156" i="8"/>
  <c r="M344" i="8"/>
  <c r="M354" i="8" s="1"/>
  <c r="D364" i="8"/>
  <c r="E364" i="8" s="1"/>
  <c r="K344" i="8"/>
  <c r="J344" i="8"/>
  <c r="L344" i="8"/>
  <c r="I344" i="8"/>
  <c r="I354" i="8" s="1"/>
  <c r="H344" i="8"/>
  <c r="A161" i="8"/>
  <c r="A86" i="8"/>
  <c r="A97" i="8" s="1"/>
  <c r="A109" i="8" s="1"/>
  <c r="M346" i="8"/>
  <c r="M345" i="8"/>
  <c r="H482" i="8"/>
  <c r="H428" i="8"/>
  <c r="H429" i="8"/>
  <c r="H481" i="8"/>
  <c r="H430" i="8"/>
  <c r="J131" i="8"/>
  <c r="H484" i="8"/>
  <c r="H31" i="8"/>
  <c r="I8" i="8"/>
  <c r="H28" i="8"/>
  <c r="H43" i="8"/>
  <c r="A202" i="8"/>
  <c r="A216" i="8" s="1"/>
  <c r="D353" i="8"/>
  <c r="L310" i="8"/>
  <c r="F310" i="8"/>
  <c r="E356" i="8"/>
  <c r="E86" i="8"/>
  <c r="F86" i="8" s="1"/>
  <c r="H86" i="8" s="1"/>
  <c r="H148" i="8"/>
  <c r="M342" i="8"/>
  <c r="L342" i="8"/>
  <c r="I342" i="8"/>
  <c r="H342" i="8"/>
  <c r="D362" i="8"/>
  <c r="E362" i="8" s="1"/>
  <c r="K342" i="8"/>
  <c r="J342" i="8"/>
  <c r="I43" i="8"/>
  <c r="E92" i="8"/>
  <c r="F92" i="8" s="1"/>
  <c r="H92" i="8" s="1"/>
  <c r="H80" i="8"/>
  <c r="I128" i="8"/>
  <c r="J128" i="8" s="1"/>
  <c r="K128" i="8" s="1"/>
  <c r="L128" i="8" s="1"/>
  <c r="M128" i="8" s="1"/>
  <c r="J67" i="8"/>
  <c r="I69" i="8"/>
  <c r="I67" i="8"/>
  <c r="I68" i="8"/>
  <c r="F273" i="8"/>
  <c r="H273" i="8" s="1"/>
  <c r="H35" i="8"/>
  <c r="J71" i="8"/>
  <c r="J64" i="8" s="1"/>
  <c r="B161" i="8"/>
  <c r="J134" i="8"/>
  <c r="F134" i="8"/>
  <c r="H134" i="8" s="1"/>
  <c r="F274" i="8"/>
  <c r="H274" i="8" s="1"/>
  <c r="A173" i="8"/>
  <c r="A238" i="8" s="1"/>
  <c r="A256" i="8" s="1"/>
  <c r="A199" i="8"/>
  <c r="A213" i="8" s="1"/>
  <c r="I127" i="8"/>
  <c r="J127" i="8" s="1"/>
  <c r="K127" i="8" s="1"/>
  <c r="L127" i="8" s="1"/>
  <c r="M127" i="8" s="1"/>
  <c r="K285" i="8"/>
  <c r="I125" i="8"/>
  <c r="J125" i="8" s="1"/>
  <c r="K125" i="8" s="1"/>
  <c r="L125" i="8" s="1"/>
  <c r="M125" i="8" s="1"/>
  <c r="F138" i="8"/>
  <c r="H138" i="8" s="1"/>
  <c r="J138" i="8"/>
  <c r="B165" i="8"/>
  <c r="D365" i="8"/>
  <c r="E365" i="8" s="1"/>
  <c r="E355" i="8"/>
  <c r="H345" i="8"/>
  <c r="J452" i="8"/>
  <c r="I452" i="8"/>
  <c r="I464" i="8"/>
  <c r="J466" i="8"/>
  <c r="I466" i="8"/>
  <c r="J472" i="8"/>
  <c r="J467" i="8"/>
  <c r="I467" i="8"/>
  <c r="I472" i="8"/>
  <c r="H346" i="8"/>
  <c r="I454" i="8"/>
  <c r="F454" i="8" s="1"/>
  <c r="J475" i="8"/>
  <c r="H75" i="8"/>
  <c r="J139" i="8"/>
  <c r="F139" i="8"/>
  <c r="H139" i="8" s="1"/>
  <c r="F152" i="8"/>
  <c r="F156" i="8"/>
  <c r="I318" i="8"/>
  <c r="J318" i="8" s="1"/>
  <c r="I345" i="8"/>
  <c r="I346" i="8"/>
  <c r="E113" i="8"/>
  <c r="F113" i="8" s="1"/>
  <c r="H113" i="8" s="1"/>
  <c r="H101" i="8"/>
  <c r="I101" i="8" s="1"/>
  <c r="J101" i="8" s="1"/>
  <c r="K101" i="8" s="1"/>
  <c r="L101" i="8" s="1"/>
  <c r="M101" i="8" s="1"/>
  <c r="F114" i="8"/>
  <c r="H114" i="8" s="1"/>
  <c r="B166" i="8"/>
  <c r="J346" i="8"/>
  <c r="J345" i="8"/>
  <c r="F450" i="8"/>
  <c r="I70" i="8"/>
  <c r="J70" i="8" s="1"/>
  <c r="J135" i="8"/>
  <c r="F135" i="8"/>
  <c r="H135" i="8" s="1"/>
  <c r="E157" i="8"/>
  <c r="K346" i="8"/>
  <c r="K345" i="8"/>
  <c r="D346" i="8"/>
  <c r="D366" i="8" s="1"/>
  <c r="E366" i="8" s="1"/>
  <c r="E385" i="8"/>
  <c r="E388" i="8" s="1"/>
  <c r="J384" i="8"/>
  <c r="I384" i="8"/>
  <c r="E387" i="8"/>
  <c r="H384" i="8"/>
  <c r="H34" i="8"/>
  <c r="E81" i="8"/>
  <c r="F150" i="8"/>
  <c r="J309" i="8"/>
  <c r="I316" i="8"/>
  <c r="J316" i="8" s="1"/>
  <c r="E352" i="8"/>
  <c r="K384" i="8"/>
  <c r="H154" i="8"/>
  <c r="L384" i="8"/>
  <c r="H658" i="8"/>
  <c r="H620" i="8"/>
  <c r="H608" i="8"/>
  <c r="F608" i="8" s="1"/>
  <c r="H787" i="8"/>
  <c r="F787" i="8" s="1"/>
  <c r="H801" i="8"/>
  <c r="F801" i="8" s="1"/>
  <c r="H765" i="8"/>
  <c r="H724" i="8"/>
  <c r="H685" i="8"/>
  <c r="H733" i="8"/>
  <c r="H827" i="8"/>
  <c r="F827" i="8" s="1"/>
  <c r="C827" i="8" s="1"/>
  <c r="H890" i="8"/>
  <c r="H891" i="8" s="1"/>
  <c r="H859" i="8"/>
  <c r="H749" i="8"/>
  <c r="H697" i="8"/>
  <c r="H533" i="8"/>
  <c r="H576" i="8"/>
  <c r="H558" i="8"/>
  <c r="H506" i="8"/>
  <c r="H498" i="8"/>
  <c r="H322" i="8"/>
  <c r="H477" i="8"/>
  <c r="H378" i="8"/>
  <c r="H226" i="8"/>
  <c r="F226" i="8" s="1"/>
  <c r="H446" i="8"/>
  <c r="H425" i="8"/>
  <c r="H235" i="8"/>
  <c r="D347" i="8"/>
  <c r="L347" i="8" s="1"/>
  <c r="M384" i="8"/>
  <c r="D348" i="8"/>
  <c r="H319" i="8"/>
  <c r="D358" i="8" s="1"/>
  <c r="I735" i="8"/>
  <c r="I418" i="8"/>
  <c r="F489" i="8"/>
  <c r="K550" i="8"/>
  <c r="J550" i="8"/>
  <c r="B401" i="8"/>
  <c r="I409" i="8"/>
  <c r="I410" i="8" s="1"/>
  <c r="M566" i="8"/>
  <c r="M596" i="8"/>
  <c r="L596" i="8"/>
  <c r="K596" i="8"/>
  <c r="J409" i="8"/>
  <c r="H415" i="8"/>
  <c r="M597" i="8"/>
  <c r="L597" i="8"/>
  <c r="F597" i="8" s="1"/>
  <c r="H549" i="8"/>
  <c r="H554" i="8" s="1"/>
  <c r="H567" i="8" s="1"/>
  <c r="L409" i="8"/>
  <c r="I549" i="8"/>
  <c r="I554" i="8" s="1"/>
  <c r="I567" i="8" s="1"/>
  <c r="C845" i="8"/>
  <c r="J549" i="8"/>
  <c r="J554" i="8" s="1"/>
  <c r="J567" i="8" s="1"/>
  <c r="H586" i="8"/>
  <c r="H583" i="8"/>
  <c r="H587" i="8"/>
  <c r="K612" i="8"/>
  <c r="K613" i="8" s="1"/>
  <c r="J612" i="8"/>
  <c r="J613" i="8" s="1"/>
  <c r="F632" i="8"/>
  <c r="K549" i="8"/>
  <c r="L583" i="8"/>
  <c r="L869" i="8" s="1"/>
  <c r="I587" i="8"/>
  <c r="J662" i="8"/>
  <c r="I664" i="8"/>
  <c r="L549" i="8"/>
  <c r="L554" i="8" s="1"/>
  <c r="I584" i="8"/>
  <c r="J587" i="8"/>
  <c r="M549" i="8"/>
  <c r="L587" i="8"/>
  <c r="J635" i="8"/>
  <c r="I637" i="8"/>
  <c r="M587" i="8"/>
  <c r="M583" i="8"/>
  <c r="M869" i="8" s="1"/>
  <c r="M588" i="8"/>
  <c r="L588" i="8"/>
  <c r="J588" i="8"/>
  <c r="I588" i="8"/>
  <c r="F588" i="8" s="1"/>
  <c r="I612" i="8"/>
  <c r="I613" i="8" s="1"/>
  <c r="K588" i="8"/>
  <c r="K592" i="8" s="1"/>
  <c r="K599" i="8" s="1"/>
  <c r="H601" i="8"/>
  <c r="H604" i="8"/>
  <c r="H789" i="8" s="1"/>
  <c r="L550" i="8"/>
  <c r="H566" i="8"/>
  <c r="F582" i="8"/>
  <c r="I585" i="8"/>
  <c r="J566" i="8"/>
  <c r="K593" i="8"/>
  <c r="K598" i="8" s="1"/>
  <c r="J593" i="8"/>
  <c r="J589" i="8"/>
  <c r="F546" i="8"/>
  <c r="M594" i="8"/>
  <c r="M598" i="8" s="1"/>
  <c r="J594" i="8"/>
  <c r="I594" i="8"/>
  <c r="I598" i="8" s="1"/>
  <c r="K589" i="8"/>
  <c r="K594" i="8"/>
  <c r="I566" i="8"/>
  <c r="L566" i="8"/>
  <c r="L595" i="8"/>
  <c r="L598" i="8" s="1"/>
  <c r="K595" i="8"/>
  <c r="J595" i="8"/>
  <c r="F595" i="8" s="1"/>
  <c r="M595" i="8"/>
  <c r="L589" i="8"/>
  <c r="L594" i="8"/>
  <c r="H631" i="8"/>
  <c r="F631" i="8" s="1"/>
  <c r="E666" i="8"/>
  <c r="E675" i="8" s="1"/>
  <c r="J802" i="8"/>
  <c r="H813" i="8"/>
  <c r="E830" i="8"/>
  <c r="E834" i="8"/>
  <c r="H846" i="8"/>
  <c r="H637" i="8"/>
  <c r="E843" i="8"/>
  <c r="E845" i="8" s="1"/>
  <c r="K583" i="8"/>
  <c r="K869" i="8" s="1"/>
  <c r="H805" i="8"/>
  <c r="I805" i="8" s="1"/>
  <c r="J805" i="8" s="1"/>
  <c r="K805" i="8" s="1"/>
  <c r="L805" i="8" s="1"/>
  <c r="M805" i="8" s="1"/>
  <c r="E831" i="8"/>
  <c r="C835" i="8"/>
  <c r="C839" i="8" s="1"/>
  <c r="H893" i="8"/>
  <c r="C832" i="8"/>
  <c r="E835" i="8"/>
  <c r="C844" i="8"/>
  <c r="E832" i="8"/>
  <c r="E844" i="8"/>
  <c r="C836" i="8"/>
  <c r="F660" i="8"/>
  <c r="F814" i="8"/>
  <c r="E836" i="8"/>
  <c r="C837" i="8"/>
  <c r="F627" i="8"/>
  <c r="E837" i="8"/>
  <c r="H664" i="8"/>
  <c r="C828" i="8"/>
  <c r="C833" i="8" s="1"/>
  <c r="C838" i="8"/>
  <c r="E841" i="8"/>
  <c r="E828" i="8"/>
  <c r="H325" i="8"/>
  <c r="M325" i="8"/>
  <c r="H326" i="8"/>
  <c r="J325" i="8"/>
  <c r="I325" i="8"/>
  <c r="G31" i="9" l="1"/>
  <c r="O147" i="10" s="1"/>
  <c r="O41" i="11" s="1"/>
  <c r="N147" i="10"/>
  <c r="N41" i="11" s="1"/>
  <c r="G30" i="9"/>
  <c r="O148" i="10" s="1"/>
  <c r="O42" i="11" s="1"/>
  <c r="N148" i="10"/>
  <c r="N42" i="11" s="1"/>
  <c r="N103" i="11" s="1"/>
  <c r="M33" i="11"/>
  <c r="M139" i="10"/>
  <c r="M36" i="11" s="1"/>
  <c r="M102" i="11" s="1"/>
  <c r="G29" i="9"/>
  <c r="O121" i="10" s="1"/>
  <c r="N121" i="10"/>
  <c r="M10" i="11"/>
  <c r="M89" i="10"/>
  <c r="F25" i="9"/>
  <c r="G18" i="9"/>
  <c r="N15" i="10"/>
  <c r="N86" i="10" s="1"/>
  <c r="M28" i="11"/>
  <c r="M97" i="10"/>
  <c r="M96" i="10" s="1"/>
  <c r="M29" i="11" s="1"/>
  <c r="G28" i="9"/>
  <c r="N95" i="10"/>
  <c r="K31" i="11"/>
  <c r="Q31" i="11" s="1"/>
  <c r="K103" i="10"/>
  <c r="L32" i="11"/>
  <c r="L141" i="10"/>
  <c r="I328" i="8"/>
  <c r="J328" i="8"/>
  <c r="M328" i="8"/>
  <c r="H328" i="8"/>
  <c r="H329" i="8" s="1"/>
  <c r="I329" i="8" s="1"/>
  <c r="J329" i="8" s="1"/>
  <c r="K329" i="8" s="1"/>
  <c r="L329" i="8" s="1"/>
  <c r="M329" i="8" s="1"/>
  <c r="F598" i="8"/>
  <c r="H362" i="8"/>
  <c r="F342" i="8"/>
  <c r="J598" i="8"/>
  <c r="F593" i="8"/>
  <c r="H215" i="8"/>
  <c r="M387" i="8"/>
  <c r="M385" i="8"/>
  <c r="M388" i="8" s="1"/>
  <c r="M386" i="8"/>
  <c r="I365" i="8"/>
  <c r="H42" i="8"/>
  <c r="K12" i="8"/>
  <c r="J35" i="8"/>
  <c r="J49" i="8" s="1"/>
  <c r="I221" i="8" s="1"/>
  <c r="J568" i="8"/>
  <c r="H352" i="8"/>
  <c r="M352" i="8"/>
  <c r="L352" i="8"/>
  <c r="K352" i="8"/>
  <c r="I352" i="8"/>
  <c r="J352" i="8"/>
  <c r="J28" i="8"/>
  <c r="J42" i="8" s="1"/>
  <c r="I214" i="8" s="1"/>
  <c r="K5" i="8"/>
  <c r="I592" i="8"/>
  <c r="I599" i="8" s="1"/>
  <c r="H76" i="8"/>
  <c r="E88" i="8"/>
  <c r="F88" i="8" s="1"/>
  <c r="H88" i="8" s="1"/>
  <c r="J585" i="8"/>
  <c r="K2" i="8"/>
  <c r="J58" i="8"/>
  <c r="J288" i="8"/>
  <c r="I194" i="8"/>
  <c r="I289" i="8"/>
  <c r="F272" i="8"/>
  <c r="H272" i="8" s="1"/>
  <c r="I787" i="8"/>
  <c r="I801" i="8"/>
  <c r="I765" i="8"/>
  <c r="I724" i="8"/>
  <c r="I685" i="8"/>
  <c r="I733" i="8"/>
  <c r="I827" i="8"/>
  <c r="I890" i="8"/>
  <c r="I891" i="8" s="1"/>
  <c r="I859" i="8"/>
  <c r="I749" i="8"/>
  <c r="I697" i="8"/>
  <c r="I658" i="8"/>
  <c r="I620" i="8"/>
  <c r="I608" i="8"/>
  <c r="I533" i="8"/>
  <c r="I576" i="8"/>
  <c r="I558" i="8"/>
  <c r="I506" i="8"/>
  <c r="I498" i="8"/>
  <c r="I477" i="8"/>
  <c r="I378" i="8"/>
  <c r="I322" i="8"/>
  <c r="I226" i="8"/>
  <c r="I446" i="8"/>
  <c r="I425" i="8"/>
  <c r="I235" i="8"/>
  <c r="I26" i="8"/>
  <c r="I333" i="8"/>
  <c r="I421" i="8"/>
  <c r="I284" i="8"/>
  <c r="I119" i="8"/>
  <c r="I172" i="8"/>
  <c r="I211" i="8"/>
  <c r="I40" i="8"/>
  <c r="A124" i="8"/>
  <c r="A136" i="8" s="1"/>
  <c r="A150" i="8"/>
  <c r="A76" i="8"/>
  <c r="M356" i="8"/>
  <c r="M366" i="8" s="1"/>
  <c r="I356" i="8"/>
  <c r="I366" i="8" s="1"/>
  <c r="H356" i="8"/>
  <c r="K356" i="8"/>
  <c r="J356" i="8"/>
  <c r="J366" i="8" s="1"/>
  <c r="K802" i="8"/>
  <c r="M554" i="8"/>
  <c r="F596" i="8"/>
  <c r="J385" i="8"/>
  <c r="J388" i="8" s="1"/>
  <c r="J387" i="8"/>
  <c r="E357" i="8"/>
  <c r="K466" i="8"/>
  <c r="H49" i="8"/>
  <c r="K366" i="8"/>
  <c r="L362" i="8"/>
  <c r="A220" i="8"/>
  <c r="A245" i="8"/>
  <c r="A263" i="8" s="1"/>
  <c r="H81" i="8"/>
  <c r="E129" i="8"/>
  <c r="E93" i="8"/>
  <c r="F93" i="8" s="1"/>
  <c r="H93" i="8" s="1"/>
  <c r="H105" i="8"/>
  <c r="I105" i="8" s="1"/>
  <c r="J105" i="8" s="1"/>
  <c r="E117" i="8"/>
  <c r="F117" i="8" s="1"/>
  <c r="H117" i="8" s="1"/>
  <c r="H385" i="8"/>
  <c r="H388" i="8" s="1"/>
  <c r="H387" i="8"/>
  <c r="H386" i="8"/>
  <c r="F345" i="8"/>
  <c r="H815" i="8"/>
  <c r="I813" i="8"/>
  <c r="K71" i="8"/>
  <c r="J65" i="8"/>
  <c r="J68" i="8"/>
  <c r="J66" i="8"/>
  <c r="I601" i="8"/>
  <c r="J601" i="8" s="1"/>
  <c r="K601" i="8" s="1"/>
  <c r="L601" i="8" s="1"/>
  <c r="M601" i="8" s="1"/>
  <c r="J473" i="8"/>
  <c r="H364" i="8"/>
  <c r="F344" i="8"/>
  <c r="I432" i="8"/>
  <c r="H181" i="8"/>
  <c r="I82" i="8"/>
  <c r="J78" i="8"/>
  <c r="J62" i="8"/>
  <c r="K62" i="8" s="1"/>
  <c r="A151" i="8"/>
  <c r="A77" i="8"/>
  <c r="A125" i="8"/>
  <c r="A137" i="8" s="1"/>
  <c r="J382" i="8"/>
  <c r="K382" i="8" s="1"/>
  <c r="L382" i="8" s="1"/>
  <c r="M382" i="8" s="1"/>
  <c r="I416" i="8"/>
  <c r="I362" i="8"/>
  <c r="M364" i="8"/>
  <c r="H432" i="8"/>
  <c r="H178" i="8"/>
  <c r="I79" i="8"/>
  <c r="A168" i="8"/>
  <c r="A93" i="8"/>
  <c r="A104" i="8" s="1"/>
  <c r="A116" i="8" s="1"/>
  <c r="A129" i="8" s="1"/>
  <c r="A141" i="8" s="1"/>
  <c r="A155" i="8" s="1"/>
  <c r="A126" i="8"/>
  <c r="A138" i="8" s="1"/>
  <c r="A152" i="8"/>
  <c r="A78" i="8"/>
  <c r="I156" i="8"/>
  <c r="J156" i="8" s="1"/>
  <c r="K27" i="8"/>
  <c r="L4" i="8"/>
  <c r="K554" i="8"/>
  <c r="K567" i="8" s="1"/>
  <c r="K568" i="8" s="1"/>
  <c r="A149" i="8"/>
  <c r="A75" i="8"/>
  <c r="A123" i="8"/>
  <c r="A135" i="8" s="1"/>
  <c r="E833" i="8"/>
  <c r="A169" i="8"/>
  <c r="A94" i="8"/>
  <c r="A105" i="8" s="1"/>
  <c r="A117" i="8" s="1"/>
  <c r="A130" i="8" s="1"/>
  <c r="A142" i="8" s="1"/>
  <c r="A156" i="8" s="1"/>
  <c r="L77" i="8"/>
  <c r="H417" i="8"/>
  <c r="H416" i="8"/>
  <c r="K103" i="8"/>
  <c r="L103" i="8" s="1"/>
  <c r="M103" i="8" s="1"/>
  <c r="E162" i="8"/>
  <c r="E275" i="8"/>
  <c r="H675" i="8"/>
  <c r="H666" i="8"/>
  <c r="H869" i="8"/>
  <c r="F869" i="8" s="1"/>
  <c r="F583" i="8"/>
  <c r="E358" i="8"/>
  <c r="J362" i="8"/>
  <c r="I364" i="8"/>
  <c r="H44" i="8"/>
  <c r="A244" i="8"/>
  <c r="A262" i="8" s="1"/>
  <c r="A219" i="8"/>
  <c r="K387" i="8"/>
  <c r="K386" i="8"/>
  <c r="K385" i="8"/>
  <c r="K388" i="8" s="1"/>
  <c r="H492" i="8"/>
  <c r="I675" i="8"/>
  <c r="I667" i="8"/>
  <c r="I676" i="8"/>
  <c r="I666" i="8"/>
  <c r="I671" i="8" s="1"/>
  <c r="D367" i="8"/>
  <c r="E367" i="8" s="1"/>
  <c r="K347" i="8"/>
  <c r="J347" i="8"/>
  <c r="I347" i="8"/>
  <c r="H347" i="8"/>
  <c r="J153" i="8"/>
  <c r="I153" i="8"/>
  <c r="J664" i="8"/>
  <c r="K662" i="8"/>
  <c r="M362" i="8"/>
  <c r="H817" i="8"/>
  <c r="H814" i="8"/>
  <c r="J34" i="8"/>
  <c r="K11" i="8"/>
  <c r="F846" i="8"/>
  <c r="H878" i="8"/>
  <c r="A246" i="8"/>
  <c r="A264" i="8" s="1"/>
  <c r="A221" i="8"/>
  <c r="H270" i="8"/>
  <c r="E280" i="8"/>
  <c r="M592" i="8"/>
  <c r="M599" i="8" s="1"/>
  <c r="K475" i="8"/>
  <c r="K465" i="8"/>
  <c r="J465" i="8"/>
  <c r="H45" i="8"/>
  <c r="H47" i="8"/>
  <c r="H155" i="8"/>
  <c r="A79" i="8"/>
  <c r="A127" i="8"/>
  <c r="A139" i="8" s="1"/>
  <c r="A153" i="8"/>
  <c r="L592" i="8"/>
  <c r="L599" i="8" s="1"/>
  <c r="I385" i="8"/>
  <c r="I388" i="8" s="1"/>
  <c r="I387" i="8"/>
  <c r="I386" i="8"/>
  <c r="H41" i="8"/>
  <c r="F354" i="8"/>
  <c r="D343" i="8"/>
  <c r="I310" i="8"/>
  <c r="M310" i="8" s="1"/>
  <c r="J310" i="8"/>
  <c r="J592" i="8"/>
  <c r="J599" i="8" s="1"/>
  <c r="I348" i="8"/>
  <c r="M348" i="8"/>
  <c r="J348" i="8"/>
  <c r="H348" i="8"/>
  <c r="D368" i="8"/>
  <c r="E368" i="8" s="1"/>
  <c r="K348" i="8"/>
  <c r="L348" i="8"/>
  <c r="H150" i="8"/>
  <c r="J464" i="8"/>
  <c r="K362" i="8"/>
  <c r="E353" i="8"/>
  <c r="L364" i="8"/>
  <c r="J7" i="8"/>
  <c r="I30" i="8"/>
  <c r="I44" i="8" s="1"/>
  <c r="A167" i="8"/>
  <c r="A92" i="8"/>
  <c r="A103" i="8" s="1"/>
  <c r="A115" i="8" s="1"/>
  <c r="A128" i="8" s="1"/>
  <c r="A140" i="8" s="1"/>
  <c r="A154" i="8" s="1"/>
  <c r="L346" i="8"/>
  <c r="I80" i="8"/>
  <c r="H179" i="8"/>
  <c r="J43" i="8"/>
  <c r="J41" i="8"/>
  <c r="I568" i="8"/>
  <c r="K70" i="8"/>
  <c r="J148" i="8"/>
  <c r="I148" i="8"/>
  <c r="H99" i="8"/>
  <c r="I99" i="8" s="1"/>
  <c r="J99" i="8" s="1"/>
  <c r="K99" i="8" s="1"/>
  <c r="L99" i="8" s="1"/>
  <c r="M99" i="8" s="1"/>
  <c r="E111" i="8"/>
  <c r="F111" i="8" s="1"/>
  <c r="H111" i="8" s="1"/>
  <c r="M347" i="8"/>
  <c r="E839" i="8"/>
  <c r="H568" i="8"/>
  <c r="H174" i="8"/>
  <c r="I75" i="8"/>
  <c r="I31" i="8"/>
  <c r="J8" i="8"/>
  <c r="K354" i="8"/>
  <c r="K364" i="8" s="1"/>
  <c r="F594" i="8"/>
  <c r="K635" i="8"/>
  <c r="J637" i="8"/>
  <c r="J355" i="8"/>
  <c r="J365" i="8" s="1"/>
  <c r="H355" i="8"/>
  <c r="K355" i="8"/>
  <c r="K365" i="8" s="1"/>
  <c r="I355" i="8"/>
  <c r="M355" i="8"/>
  <c r="M365" i="8" s="1"/>
  <c r="L355" i="8"/>
  <c r="L365" i="8" s="1"/>
  <c r="I32" i="8"/>
  <c r="J9" i="8"/>
  <c r="F346" i="8"/>
  <c r="H366" i="8"/>
  <c r="H592" i="8"/>
  <c r="F587" i="8"/>
  <c r="L387" i="8"/>
  <c r="L385" i="8"/>
  <c r="L388" i="8" s="1"/>
  <c r="L386" i="8"/>
  <c r="F589" i="8"/>
  <c r="F815" i="8"/>
  <c r="F819" i="8" s="1"/>
  <c r="F824" i="8" s="1"/>
  <c r="I586" i="8"/>
  <c r="J584" i="8"/>
  <c r="I319" i="8"/>
  <c r="J319" i="8" s="1"/>
  <c r="J154" i="8"/>
  <c r="I154" i="8"/>
  <c r="L285" i="8"/>
  <c r="J364" i="8"/>
  <c r="J74" i="8"/>
  <c r="I173" i="8"/>
  <c r="N10" i="11" l="1"/>
  <c r="N89" i="10"/>
  <c r="O15" i="10"/>
  <c r="O86" i="10" s="1"/>
  <c r="G25" i="9"/>
  <c r="M91" i="10"/>
  <c r="M24" i="11" s="1"/>
  <c r="M25" i="11" s="1"/>
  <c r="M8" i="12"/>
  <c r="M100" i="11"/>
  <c r="M108" i="11" s="1"/>
  <c r="M21" i="11"/>
  <c r="M11" i="11"/>
  <c r="N33" i="11"/>
  <c r="N139" i="10"/>
  <c r="N36" i="11" s="1"/>
  <c r="N102" i="11" s="1"/>
  <c r="O33" i="11"/>
  <c r="O139" i="10"/>
  <c r="O36" i="11" s="1"/>
  <c r="O102" i="11" s="1"/>
  <c r="O103" i="11"/>
  <c r="N28" i="11"/>
  <c r="N97" i="10"/>
  <c r="N96" i="10"/>
  <c r="N29" i="11" s="1"/>
  <c r="M30" i="11"/>
  <c r="M103" i="10"/>
  <c r="G85" i="9"/>
  <c r="O95" i="10"/>
  <c r="K32" i="11"/>
  <c r="K141" i="10"/>
  <c r="L37" i="11"/>
  <c r="L38" i="11" s="1"/>
  <c r="L150" i="10"/>
  <c r="L142" i="10"/>
  <c r="L105" i="11"/>
  <c r="L109" i="11" s="1"/>
  <c r="L43" i="11"/>
  <c r="J31" i="8"/>
  <c r="K8" i="8"/>
  <c r="H213" i="8"/>
  <c r="H51" i="8"/>
  <c r="H173" i="8"/>
  <c r="I150" i="8"/>
  <c r="J150" i="8"/>
  <c r="H177" i="8"/>
  <c r="I47" i="8"/>
  <c r="A87" i="8"/>
  <c r="A98" i="8" s="1"/>
  <c r="A110" i="8" s="1"/>
  <c r="A162" i="8"/>
  <c r="L71" i="8"/>
  <c r="L65" i="8" s="1"/>
  <c r="K65" i="8"/>
  <c r="K66" i="8"/>
  <c r="H514" i="8"/>
  <c r="H418" i="8"/>
  <c r="H410" i="8"/>
  <c r="A90" i="8"/>
  <c r="A101" i="8" s="1"/>
  <c r="A113" i="8" s="1"/>
  <c r="A165" i="8"/>
  <c r="K664" i="8"/>
  <c r="L662" i="8"/>
  <c r="K43" i="8"/>
  <c r="J215" i="8" s="1"/>
  <c r="K41" i="8"/>
  <c r="K28" i="8"/>
  <c r="L5" i="8"/>
  <c r="F806" i="8"/>
  <c r="F808" i="8" s="1"/>
  <c r="F811" i="8" s="1"/>
  <c r="F821" i="8" s="1"/>
  <c r="F796" i="8"/>
  <c r="L366" i="8"/>
  <c r="F366" i="8" s="1"/>
  <c r="K78" i="8"/>
  <c r="L12" i="8"/>
  <c r="K35" i="8"/>
  <c r="K49" i="8" s="1"/>
  <c r="H186" i="8"/>
  <c r="H200" i="8"/>
  <c r="F348" i="8"/>
  <c r="H368" i="8"/>
  <c r="L27" i="8"/>
  <c r="M4" i="8"/>
  <c r="M27" i="8" s="1"/>
  <c r="I176" i="8"/>
  <c r="J675" i="8"/>
  <c r="J677" i="8"/>
  <c r="J667" i="8"/>
  <c r="J676" i="8"/>
  <c r="J666" i="8"/>
  <c r="J668" i="8"/>
  <c r="L358" i="8"/>
  <c r="L368" i="8" s="1"/>
  <c r="J358" i="8"/>
  <c r="J368" i="8" s="1"/>
  <c r="I358" i="8"/>
  <c r="I368" i="8" s="1"/>
  <c r="K358" i="8"/>
  <c r="K368" i="8" s="1"/>
  <c r="H358" i="8"/>
  <c r="M358" i="8"/>
  <c r="M77" i="8"/>
  <c r="H193" i="8"/>
  <c r="H207" i="8"/>
  <c r="H129" i="8"/>
  <c r="I129" i="8" s="1"/>
  <c r="J129" i="8" s="1"/>
  <c r="K129" i="8" s="1"/>
  <c r="L129" i="8" s="1"/>
  <c r="M129" i="8" s="1"/>
  <c r="E141" i="8"/>
  <c r="F141" i="8" s="1"/>
  <c r="H141" i="8" s="1"/>
  <c r="F155" i="8"/>
  <c r="F157" i="8" s="1"/>
  <c r="I680" i="8"/>
  <c r="J213" i="8"/>
  <c r="K7" i="8"/>
  <c r="J30" i="8"/>
  <c r="J44" i="8" s="1"/>
  <c r="H516" i="8"/>
  <c r="I181" i="8"/>
  <c r="J82" i="8"/>
  <c r="H221" i="8"/>
  <c r="F355" i="8"/>
  <c r="J813" i="8"/>
  <c r="L356" i="8"/>
  <c r="I81" i="8"/>
  <c r="H180" i="8"/>
  <c r="K64" i="8"/>
  <c r="L475" i="8"/>
  <c r="K452" i="8"/>
  <c r="L473" i="8"/>
  <c r="K472" i="8"/>
  <c r="F472" i="8" s="1"/>
  <c r="K464" i="8"/>
  <c r="K473" i="8"/>
  <c r="F473" i="8" s="1"/>
  <c r="L464" i="8"/>
  <c r="F275" i="8"/>
  <c r="H275" i="8" s="1"/>
  <c r="H680" i="8"/>
  <c r="A164" i="8"/>
  <c r="A89" i="8"/>
  <c r="A100" i="8" s="1"/>
  <c r="A112" i="8" s="1"/>
  <c r="A166" i="8"/>
  <c r="A91" i="8"/>
  <c r="A102" i="8" s="1"/>
  <c r="A114" i="8" s="1"/>
  <c r="F347" i="8"/>
  <c r="A163" i="8"/>
  <c r="A88" i="8"/>
  <c r="A99" i="8" s="1"/>
  <c r="A111" i="8" s="1"/>
  <c r="L2" i="8"/>
  <c r="K58" i="8"/>
  <c r="I367" i="8"/>
  <c r="H671" i="8"/>
  <c r="J386" i="8"/>
  <c r="J787" i="8"/>
  <c r="J801" i="8"/>
  <c r="J765" i="8"/>
  <c r="J724" i="8"/>
  <c r="J685" i="8"/>
  <c r="J733" i="8"/>
  <c r="J827" i="8"/>
  <c r="J890" i="8"/>
  <c r="J891" i="8" s="1"/>
  <c r="J859" i="8"/>
  <c r="J749" i="8"/>
  <c r="J697" i="8"/>
  <c r="J658" i="8"/>
  <c r="J620" i="8"/>
  <c r="J608" i="8"/>
  <c r="J533" i="8"/>
  <c r="J576" i="8"/>
  <c r="J558" i="8"/>
  <c r="J506" i="8"/>
  <c r="J498" i="8"/>
  <c r="J477" i="8"/>
  <c r="J421" i="8"/>
  <c r="J446" i="8"/>
  <c r="J425" i="8"/>
  <c r="J235" i="8"/>
  <c r="J172" i="8"/>
  <c r="J378" i="8"/>
  <c r="J226" i="8"/>
  <c r="J26" i="8"/>
  <c r="J119" i="8"/>
  <c r="J322" i="8"/>
  <c r="J284" i="8"/>
  <c r="J211" i="8"/>
  <c r="J333" i="8"/>
  <c r="J40" i="8"/>
  <c r="H343" i="8"/>
  <c r="K343" i="8"/>
  <c r="J343" i="8"/>
  <c r="I343" i="8"/>
  <c r="I353" i="8" s="1"/>
  <c r="I359" i="8" s="1"/>
  <c r="D363" i="8"/>
  <c r="E363" i="8" s="1"/>
  <c r="L343" i="8"/>
  <c r="M343" i="8"/>
  <c r="L635" i="8"/>
  <c r="K637" i="8"/>
  <c r="K61" i="8"/>
  <c r="J367" i="8"/>
  <c r="H216" i="8"/>
  <c r="H176" i="8"/>
  <c r="K63" i="8"/>
  <c r="L63" i="8" s="1"/>
  <c r="L70" i="8"/>
  <c r="L62" i="8"/>
  <c r="J221" i="8"/>
  <c r="J32" i="8"/>
  <c r="J46" i="8" s="1"/>
  <c r="K9" i="8"/>
  <c r="F362" i="8"/>
  <c r="I46" i="8"/>
  <c r="K68" i="8"/>
  <c r="H214" i="8"/>
  <c r="M285" i="8"/>
  <c r="F285" i="8"/>
  <c r="F356" i="8"/>
  <c r="I178" i="8"/>
  <c r="J79" i="8"/>
  <c r="M357" i="8"/>
  <c r="M367" i="8" s="1"/>
  <c r="L357" i="8"/>
  <c r="L367" i="8" s="1"/>
  <c r="K357" i="8"/>
  <c r="J357" i="8"/>
  <c r="H357" i="8"/>
  <c r="I357" i="8"/>
  <c r="H600" i="8"/>
  <c r="F592" i="8"/>
  <c r="H599" i="8"/>
  <c r="K34" i="8"/>
  <c r="L11" i="8"/>
  <c r="H191" i="8"/>
  <c r="H205" i="8"/>
  <c r="H48" i="8"/>
  <c r="H157" i="8"/>
  <c r="K367" i="8"/>
  <c r="L567" i="8"/>
  <c r="L568" i="8" s="1"/>
  <c r="L66" i="8"/>
  <c r="M567" i="8"/>
  <c r="M568" i="8" s="1"/>
  <c r="J604" i="8"/>
  <c r="J789" i="8" s="1"/>
  <c r="K585" i="8"/>
  <c r="H422" i="8"/>
  <c r="E164" i="8"/>
  <c r="K105" i="8"/>
  <c r="L105" i="8" s="1"/>
  <c r="M105" i="8" s="1"/>
  <c r="H175" i="8"/>
  <c r="I76" i="8"/>
  <c r="I174" i="8"/>
  <c r="J75" i="8"/>
  <c r="K69" i="8"/>
  <c r="M368" i="8"/>
  <c r="L353" i="8"/>
  <c r="L359" i="8" s="1"/>
  <c r="K353" i="8"/>
  <c r="K359" i="8" s="1"/>
  <c r="H894" i="8"/>
  <c r="F878" i="8"/>
  <c r="H204" i="8"/>
  <c r="H190" i="8"/>
  <c r="I213" i="8"/>
  <c r="E851" i="8"/>
  <c r="E849" i="8"/>
  <c r="E847" i="8"/>
  <c r="E850" i="8"/>
  <c r="E848" i="8"/>
  <c r="J194" i="8"/>
  <c r="K288" i="8"/>
  <c r="J289" i="8"/>
  <c r="I185" i="8"/>
  <c r="I199" i="8"/>
  <c r="H365" i="8"/>
  <c r="F365" i="8" s="1"/>
  <c r="L472" i="8"/>
  <c r="K74" i="8"/>
  <c r="J173" i="8"/>
  <c r="F364" i="8"/>
  <c r="K467" i="8"/>
  <c r="J80" i="8"/>
  <c r="I179" i="8"/>
  <c r="K67" i="8"/>
  <c r="K584" i="8"/>
  <c r="J586" i="8"/>
  <c r="I215" i="8"/>
  <c r="E282" i="8"/>
  <c r="H280" i="8"/>
  <c r="L68" i="8"/>
  <c r="I604" i="8"/>
  <c r="I789" i="8" s="1"/>
  <c r="F352" i="8"/>
  <c r="I682" i="8"/>
  <c r="L802" i="8"/>
  <c r="M17" i="11" l="1"/>
  <c r="M19" i="11"/>
  <c r="M15" i="11"/>
  <c r="M13" i="12"/>
  <c r="M14" i="12" s="1"/>
  <c r="M13" i="11"/>
  <c r="M22" i="11"/>
  <c r="M66" i="11"/>
  <c r="M3" i="13" s="1"/>
  <c r="M18" i="13"/>
  <c r="M90" i="10"/>
  <c r="M23" i="11" s="1"/>
  <c r="M106" i="11" s="1"/>
  <c r="O10" i="11"/>
  <c r="O89" i="10"/>
  <c r="N91" i="10"/>
  <c r="N24" i="11" s="1"/>
  <c r="N25" i="11" s="1"/>
  <c r="N90" i="10"/>
  <c r="N23" i="11" s="1"/>
  <c r="N106" i="11" s="1"/>
  <c r="N8" i="12"/>
  <c r="N21" i="11"/>
  <c r="N100" i="11"/>
  <c r="N108" i="11" s="1"/>
  <c r="O28" i="11"/>
  <c r="O97" i="10"/>
  <c r="O96" i="10"/>
  <c r="O29" i="11" s="1"/>
  <c r="M32" i="11"/>
  <c r="M141" i="10"/>
  <c r="N30" i="11"/>
  <c r="N103" i="10"/>
  <c r="K37" i="11"/>
  <c r="K150" i="10"/>
  <c r="K142" i="10"/>
  <c r="K105" i="11"/>
  <c r="K109" i="11" s="1"/>
  <c r="K43" i="11"/>
  <c r="L44" i="11"/>
  <c r="L110" i="11"/>
  <c r="L70" i="11"/>
  <c r="L7" i="13" s="1"/>
  <c r="L19" i="13"/>
  <c r="L46" i="11"/>
  <c r="L45" i="11" s="1"/>
  <c r="L151" i="10"/>
  <c r="I205" i="8"/>
  <c r="I244" i="8" s="1"/>
  <c r="I191" i="8"/>
  <c r="M363" i="8"/>
  <c r="M369" i="8" s="1"/>
  <c r="M370" i="8" s="1"/>
  <c r="M349" i="8"/>
  <c r="M500" i="8" s="1"/>
  <c r="M726" i="8" s="1"/>
  <c r="F368" i="8"/>
  <c r="K80" i="8"/>
  <c r="K42" i="8"/>
  <c r="J181" i="8"/>
  <c r="K82" i="8"/>
  <c r="I204" i="8"/>
  <c r="I243" i="8" s="1"/>
  <c r="I190" i="8"/>
  <c r="I219" i="8"/>
  <c r="H219" i="8"/>
  <c r="I200" i="8"/>
  <c r="I239" i="8" s="1"/>
  <c r="I186" i="8"/>
  <c r="J47" i="8"/>
  <c r="J179" i="8" s="1"/>
  <c r="J45" i="8"/>
  <c r="J176" i="8"/>
  <c r="K677" i="8"/>
  <c r="K667" i="8"/>
  <c r="K676" i="8"/>
  <c r="K669" i="8"/>
  <c r="K666" i="8"/>
  <c r="K678" i="8"/>
  <c r="K668" i="8"/>
  <c r="K675" i="8"/>
  <c r="H187" i="8"/>
  <c r="H201" i="8"/>
  <c r="H192" i="8"/>
  <c r="H206" i="8"/>
  <c r="L7" i="8"/>
  <c r="K30" i="8"/>
  <c r="I202" i="8"/>
  <c r="I241" i="8" s="1"/>
  <c r="I188" i="8"/>
  <c r="H244" i="8"/>
  <c r="H884" i="8"/>
  <c r="F798" i="8"/>
  <c r="J185" i="8"/>
  <c r="J199" i="8"/>
  <c r="J363" i="8"/>
  <c r="J369" i="8" s="1"/>
  <c r="J349" i="8"/>
  <c r="J500" i="8" s="1"/>
  <c r="J726" i="8" s="1"/>
  <c r="F452" i="8"/>
  <c r="I155" i="8"/>
  <c r="H682" i="8"/>
  <c r="H673" i="8"/>
  <c r="I673" i="8"/>
  <c r="J673" i="8"/>
  <c r="I180" i="8"/>
  <c r="J81" i="8"/>
  <c r="I48" i="8"/>
  <c r="M12" i="8"/>
  <c r="M35" i="8" s="1"/>
  <c r="M49" i="8" s="1"/>
  <c r="L35" i="8"/>
  <c r="F467" i="8"/>
  <c r="M11" i="8"/>
  <c r="M34" i="8" s="1"/>
  <c r="L34" i="8"/>
  <c r="H246" i="8"/>
  <c r="H737" i="8"/>
  <c r="K31" i="8"/>
  <c r="L8" i="8"/>
  <c r="M2" i="8"/>
  <c r="M58" i="8" s="1"/>
  <c r="L58" i="8"/>
  <c r="I175" i="8"/>
  <c r="J76" i="8"/>
  <c r="L61" i="8"/>
  <c r="M61" i="8" s="1"/>
  <c r="L467" i="8"/>
  <c r="J353" i="8"/>
  <c r="J359" i="8" s="1"/>
  <c r="F357" i="8"/>
  <c r="K32" i="8"/>
  <c r="L9" i="8"/>
  <c r="H367" i="8"/>
  <c r="F367" i="8" s="1"/>
  <c r="I216" i="8"/>
  <c r="L78" i="8"/>
  <c r="M67" i="8"/>
  <c r="M635" i="8"/>
  <c r="M637" i="8" s="1"/>
  <c r="L637" i="8"/>
  <c r="K604" i="8"/>
  <c r="K789" i="8" s="1"/>
  <c r="L585" i="8"/>
  <c r="M70" i="8"/>
  <c r="F464" i="8"/>
  <c r="H499" i="8"/>
  <c r="H462" i="8"/>
  <c r="H471" i="8"/>
  <c r="H457" i="8"/>
  <c r="H463" i="8"/>
  <c r="H459" i="8"/>
  <c r="H458" i="8"/>
  <c r="H456" i="8"/>
  <c r="H461" i="8"/>
  <c r="H52" i="8"/>
  <c r="M65" i="8"/>
  <c r="H282" i="8"/>
  <c r="I280" i="8"/>
  <c r="H188" i="8"/>
  <c r="H202" i="8"/>
  <c r="J671" i="8"/>
  <c r="L74" i="8"/>
  <c r="K173" i="8"/>
  <c r="K213" i="8"/>
  <c r="J178" i="8"/>
  <c r="K79" i="8"/>
  <c r="H239" i="8"/>
  <c r="H453" i="8"/>
  <c r="I218" i="8"/>
  <c r="H218" i="8"/>
  <c r="K801" i="8"/>
  <c r="K765" i="8"/>
  <c r="K724" i="8"/>
  <c r="K685" i="8"/>
  <c r="K733" i="8"/>
  <c r="K827" i="8"/>
  <c r="K890" i="8"/>
  <c r="K891" i="8" s="1"/>
  <c r="K859" i="8"/>
  <c r="K749" i="8"/>
  <c r="K697" i="8"/>
  <c r="K658" i="8"/>
  <c r="K620" i="8"/>
  <c r="K608" i="8"/>
  <c r="K787" i="8"/>
  <c r="K576" i="8"/>
  <c r="K558" i="8"/>
  <c r="K506" i="8"/>
  <c r="K498" i="8"/>
  <c r="K477" i="8"/>
  <c r="K378" i="8"/>
  <c r="K533" i="8"/>
  <c r="K284" i="8"/>
  <c r="K421" i="8"/>
  <c r="K119" i="8"/>
  <c r="K322" i="8"/>
  <c r="K172" i="8"/>
  <c r="K226" i="8"/>
  <c r="K446" i="8"/>
  <c r="K26" i="8"/>
  <c r="K235" i="8"/>
  <c r="K211" i="8"/>
  <c r="K333" i="8"/>
  <c r="K40" i="8"/>
  <c r="K425" i="8"/>
  <c r="F599" i="8"/>
  <c r="J680" i="8"/>
  <c r="I45" i="8"/>
  <c r="I238" i="8"/>
  <c r="I536" i="8"/>
  <c r="F894" i="8"/>
  <c r="H895" i="8"/>
  <c r="I600" i="8"/>
  <c r="H602" i="8"/>
  <c r="H603" i="8"/>
  <c r="K586" i="8"/>
  <c r="L584" i="8"/>
  <c r="K194" i="8"/>
  <c r="L288" i="8"/>
  <c r="K289" i="8"/>
  <c r="M353" i="8"/>
  <c r="M359" i="8" s="1"/>
  <c r="H803" i="8"/>
  <c r="I422" i="8"/>
  <c r="L43" i="8"/>
  <c r="K215" i="8" s="1"/>
  <c r="L41" i="8"/>
  <c r="F27" i="8"/>
  <c r="H735" i="8"/>
  <c r="M62" i="8"/>
  <c r="L363" i="8"/>
  <c r="L369" i="8" s="1"/>
  <c r="L349" i="8"/>
  <c r="L500" i="8" s="1"/>
  <c r="L726" i="8" s="1"/>
  <c r="H185" i="8"/>
  <c r="H182" i="8"/>
  <c r="H199" i="8"/>
  <c r="M66" i="8"/>
  <c r="I363" i="8"/>
  <c r="I369" i="8" s="1"/>
  <c r="I349" i="8"/>
  <c r="I500" i="8" s="1"/>
  <c r="I726" i="8" s="1"/>
  <c r="L28" i="8"/>
  <c r="L42" i="8" s="1"/>
  <c r="M5" i="8"/>
  <c r="M28" i="8" s="1"/>
  <c r="M42" i="8" s="1"/>
  <c r="M71" i="8"/>
  <c r="M63" i="8" s="1"/>
  <c r="L69" i="8"/>
  <c r="L67" i="8"/>
  <c r="M69" i="8"/>
  <c r="M68" i="8"/>
  <c r="K363" i="8"/>
  <c r="K369" i="8" s="1"/>
  <c r="K349" i="8"/>
  <c r="K500" i="8" s="1"/>
  <c r="K726" i="8" s="1"/>
  <c r="F343" i="8"/>
  <c r="H349" i="8"/>
  <c r="I193" i="8"/>
  <c r="I207" i="8"/>
  <c r="I246" i="8" s="1"/>
  <c r="J174" i="8"/>
  <c r="K75" i="8"/>
  <c r="H243" i="8"/>
  <c r="M475" i="8"/>
  <c r="M467" i="8" s="1"/>
  <c r="M452" i="8"/>
  <c r="M465" i="8"/>
  <c r="L465" i="8"/>
  <c r="F465" i="8" s="1"/>
  <c r="L466" i="8"/>
  <c r="F466" i="8" s="1"/>
  <c r="L452" i="8"/>
  <c r="L664" i="8"/>
  <c r="M662" i="8"/>
  <c r="M664" i="8" s="1"/>
  <c r="M802" i="8"/>
  <c r="L64" i="8"/>
  <c r="M64" i="8" s="1"/>
  <c r="H189" i="8"/>
  <c r="H203" i="8"/>
  <c r="H353" i="8"/>
  <c r="H220" i="8"/>
  <c r="K813" i="8"/>
  <c r="F358" i="8"/>
  <c r="M43" i="8"/>
  <c r="M41" i="8"/>
  <c r="N13" i="12" l="1"/>
  <c r="N14" i="12" s="1"/>
  <c r="N15" i="11"/>
  <c r="N17" i="11"/>
  <c r="N22" i="11"/>
  <c r="N19" i="11"/>
  <c r="N13" i="11"/>
  <c r="O91" i="10"/>
  <c r="O24" i="11" s="1"/>
  <c r="O25" i="11" s="1"/>
  <c r="O90" i="10"/>
  <c r="O23" i="11" s="1"/>
  <c r="O8" i="12"/>
  <c r="Q8" i="12" s="1"/>
  <c r="O21" i="11"/>
  <c r="O100" i="11"/>
  <c r="O108" i="11" s="1"/>
  <c r="O106" i="11"/>
  <c r="N11" i="11"/>
  <c r="N66" i="11"/>
  <c r="N3" i="13" s="1"/>
  <c r="N18" i="13"/>
  <c r="N141" i="10"/>
  <c r="N32" i="11"/>
  <c r="M150" i="10"/>
  <c r="M37" i="11"/>
  <c r="M38" i="11" s="1"/>
  <c r="M142" i="10"/>
  <c r="M105" i="11"/>
  <c r="M109" i="11" s="1"/>
  <c r="M43" i="11"/>
  <c r="M44" i="11" s="1"/>
  <c r="O103" i="10"/>
  <c r="O30" i="11"/>
  <c r="K110" i="11"/>
  <c r="L83" i="11" s="1"/>
  <c r="K70" i="11"/>
  <c r="K7" i="13" s="1"/>
  <c r="K19" i="13"/>
  <c r="K44" i="11"/>
  <c r="Q43" i="11"/>
  <c r="K46" i="11"/>
  <c r="K45" i="11" s="1"/>
  <c r="K151" i="10"/>
  <c r="K38" i="11"/>
  <c r="Q37" i="11"/>
  <c r="L20" i="13"/>
  <c r="L81" i="11"/>
  <c r="L15" i="12"/>
  <c r="L16" i="12" s="1"/>
  <c r="L47" i="11"/>
  <c r="L49" i="11"/>
  <c r="J205" i="8"/>
  <c r="J244" i="8" s="1"/>
  <c r="J191" i="8"/>
  <c r="M288" i="8"/>
  <c r="L194" i="8"/>
  <c r="F194" i="8" s="1"/>
  <c r="L289" i="8"/>
  <c r="M213" i="8"/>
  <c r="L677" i="8"/>
  <c r="F677" i="8" s="1"/>
  <c r="L667" i="8"/>
  <c r="L670" i="8"/>
  <c r="F670" i="8" s="1"/>
  <c r="L676" i="8"/>
  <c r="F676" i="8" s="1"/>
  <c r="L669" i="8"/>
  <c r="F669" i="8" s="1"/>
  <c r="L679" i="8"/>
  <c r="F679" i="8" s="1"/>
  <c r="L666" i="8"/>
  <c r="L678" i="8"/>
  <c r="L668" i="8"/>
  <c r="F668" i="8" s="1"/>
  <c r="L675" i="8"/>
  <c r="F675" i="8" s="1"/>
  <c r="K370" i="8"/>
  <c r="L586" i="8"/>
  <c r="M584" i="8"/>
  <c r="K185" i="8"/>
  <c r="K199" i="8"/>
  <c r="M9" i="8"/>
  <c r="M32" i="8" s="1"/>
  <c r="M46" i="8" s="1"/>
  <c r="L32" i="8"/>
  <c r="L46" i="8" s="1"/>
  <c r="H240" i="8"/>
  <c r="L75" i="8"/>
  <c r="K174" i="8"/>
  <c r="F28" i="8"/>
  <c r="K214" i="8"/>
  <c r="J214" i="8"/>
  <c r="F42" i="8"/>
  <c r="L813" i="8"/>
  <c r="M472" i="8"/>
  <c r="F43" i="8"/>
  <c r="J600" i="8"/>
  <c r="I602" i="8"/>
  <c r="I603" i="8"/>
  <c r="J682" i="8"/>
  <c r="M78" i="8"/>
  <c r="I206" i="8"/>
  <c r="I245" i="8" s="1"/>
  <c r="I192" i="8"/>
  <c r="F678" i="8"/>
  <c r="J193" i="8"/>
  <c r="J207" i="8"/>
  <c r="J246" i="8" s="1"/>
  <c r="M8" i="8"/>
  <c r="M31" i="8" s="1"/>
  <c r="L31" i="8"/>
  <c r="F31" i="8" s="1"/>
  <c r="M215" i="8"/>
  <c r="L370" i="8"/>
  <c r="K47" i="8"/>
  <c r="K45" i="8"/>
  <c r="M74" i="8"/>
  <c r="M173" i="8" s="1"/>
  <c r="L173" i="8"/>
  <c r="K46" i="8"/>
  <c r="F32" i="8"/>
  <c r="J217" i="8"/>
  <c r="J177" i="8"/>
  <c r="F353" i="8"/>
  <c r="H359" i="8"/>
  <c r="F359" i="8" s="1"/>
  <c r="J200" i="8"/>
  <c r="J186" i="8"/>
  <c r="J219" i="8"/>
  <c r="H605" i="8"/>
  <c r="H790" i="8"/>
  <c r="K680" i="8"/>
  <c r="L80" i="8"/>
  <c r="J180" i="8"/>
  <c r="K81" i="8"/>
  <c r="J48" i="8"/>
  <c r="M214" i="8"/>
  <c r="H241" i="8"/>
  <c r="K673" i="8"/>
  <c r="K671" i="8"/>
  <c r="M677" i="8"/>
  <c r="M667" i="8"/>
  <c r="M670" i="8"/>
  <c r="M676" i="8"/>
  <c r="M669" i="8"/>
  <c r="M679" i="8"/>
  <c r="M666" i="8"/>
  <c r="M678" i="8"/>
  <c r="M668" i="8"/>
  <c r="M675" i="8"/>
  <c r="M680" i="8" s="1"/>
  <c r="H195" i="8"/>
  <c r="I157" i="8"/>
  <c r="J157" i="8" s="1"/>
  <c r="J155" i="8"/>
  <c r="H242" i="8"/>
  <c r="J536" i="8"/>
  <c r="H725" i="8"/>
  <c r="H698" i="8"/>
  <c r="I803" i="8"/>
  <c r="F667" i="8"/>
  <c r="H363" i="8"/>
  <c r="L215" i="8"/>
  <c r="J175" i="8"/>
  <c r="K76" i="8"/>
  <c r="L49" i="8"/>
  <c r="F35" i="8"/>
  <c r="J370" i="8"/>
  <c r="K44" i="8"/>
  <c r="H238" i="8"/>
  <c r="H208" i="8"/>
  <c r="I217" i="8"/>
  <c r="I177" i="8"/>
  <c r="I182" i="8" s="1"/>
  <c r="I51" i="8"/>
  <c r="H217" i="8"/>
  <c r="L79" i="8"/>
  <c r="K178" i="8"/>
  <c r="L604" i="8"/>
  <c r="L789" i="8" s="1"/>
  <c r="M585" i="8"/>
  <c r="M604" i="8" s="1"/>
  <c r="M789" i="8" s="1"/>
  <c r="I201" i="8"/>
  <c r="I187" i="8"/>
  <c r="M221" i="8"/>
  <c r="J238" i="8"/>
  <c r="L30" i="8"/>
  <c r="L44" i="8" s="1"/>
  <c r="M7" i="8"/>
  <c r="M30" i="8" s="1"/>
  <c r="M44" i="8" s="1"/>
  <c r="F288" i="8"/>
  <c r="F289" i="8" s="1"/>
  <c r="J204" i="8"/>
  <c r="J243" i="8" s="1"/>
  <c r="J190" i="8"/>
  <c r="H245" i="8"/>
  <c r="F666" i="8"/>
  <c r="M801" i="8"/>
  <c r="M765" i="8"/>
  <c r="M724" i="8"/>
  <c r="M685" i="8"/>
  <c r="M733" i="8"/>
  <c r="M827" i="8"/>
  <c r="M890" i="8"/>
  <c r="M891" i="8" s="1"/>
  <c r="M859" i="8"/>
  <c r="M749" i="8"/>
  <c r="M697" i="8"/>
  <c r="M658" i="8"/>
  <c r="M620" i="8"/>
  <c r="M608" i="8"/>
  <c r="M787" i="8"/>
  <c r="M558" i="8"/>
  <c r="M506" i="8"/>
  <c r="M498" i="8"/>
  <c r="M533" i="8"/>
  <c r="M421" i="8"/>
  <c r="M576" i="8"/>
  <c r="M322" i="8"/>
  <c r="M235" i="8"/>
  <c r="M172" i="8"/>
  <c r="M119" i="8"/>
  <c r="M425" i="8"/>
  <c r="M26" i="8"/>
  <c r="M477" i="8"/>
  <c r="M284" i="8"/>
  <c r="M446" i="8"/>
  <c r="M226" i="8"/>
  <c r="M211" i="8"/>
  <c r="M333" i="8"/>
  <c r="M378" i="8"/>
  <c r="M40" i="8"/>
  <c r="J202" i="8"/>
  <c r="J241" i="8" s="1"/>
  <c r="J188" i="8"/>
  <c r="L214" i="8"/>
  <c r="H500" i="8"/>
  <c r="F349" i="8"/>
  <c r="M464" i="8"/>
  <c r="M473" i="8"/>
  <c r="M466" i="8"/>
  <c r="I370" i="8"/>
  <c r="L213" i="8"/>
  <c r="F41" i="8"/>
  <c r="I282" i="8"/>
  <c r="J280" i="8"/>
  <c r="L801" i="8"/>
  <c r="L765" i="8"/>
  <c r="L724" i="8"/>
  <c r="L685" i="8"/>
  <c r="L733" i="8"/>
  <c r="L827" i="8"/>
  <c r="L890" i="8"/>
  <c r="L891" i="8" s="1"/>
  <c r="L859" i="8"/>
  <c r="L749" i="8"/>
  <c r="L697" i="8"/>
  <c r="L658" i="8"/>
  <c r="L620" i="8"/>
  <c r="L608" i="8"/>
  <c r="L787" i="8"/>
  <c r="L576" i="8"/>
  <c r="L558" i="8"/>
  <c r="L506" i="8"/>
  <c r="L498" i="8"/>
  <c r="L533" i="8"/>
  <c r="L284" i="8"/>
  <c r="L421" i="8"/>
  <c r="L119" i="8"/>
  <c r="L322" i="8"/>
  <c r="L172" i="8"/>
  <c r="L446" i="8"/>
  <c r="L378" i="8"/>
  <c r="L26" i="8"/>
  <c r="L477" i="8"/>
  <c r="L235" i="8"/>
  <c r="L211" i="8"/>
  <c r="L425" i="8"/>
  <c r="L333" i="8"/>
  <c r="L40" i="8"/>
  <c r="L226" i="8"/>
  <c r="K181" i="8"/>
  <c r="L82" i="8"/>
  <c r="F34" i="8"/>
  <c r="O66" i="11" l="1"/>
  <c r="O3" i="13" s="1"/>
  <c r="O18" i="13"/>
  <c r="O11" i="11"/>
  <c r="O22" i="11"/>
  <c r="O15" i="11"/>
  <c r="O13" i="12"/>
  <c r="O17" i="11"/>
  <c r="O19" i="11"/>
  <c r="O13" i="11"/>
  <c r="O32" i="11"/>
  <c r="O141" i="10"/>
  <c r="M70" i="11"/>
  <c r="M7" i="13" s="1"/>
  <c r="M110" i="11"/>
  <c r="M19" i="13"/>
  <c r="M46" i="11"/>
  <c r="M151" i="10"/>
  <c r="N43" i="11"/>
  <c r="N105" i="11"/>
  <c r="N109" i="11" s="1"/>
  <c r="N37" i="11"/>
  <c r="N38" i="11" s="1"/>
  <c r="N150" i="10"/>
  <c r="N142" i="10"/>
  <c r="Q46" i="11"/>
  <c r="K15" i="12"/>
  <c r="K47" i="11"/>
  <c r="K49" i="11"/>
  <c r="K81" i="11"/>
  <c r="K83" i="11"/>
  <c r="K20" i="13"/>
  <c r="L52" i="11"/>
  <c r="L17" i="12"/>
  <c r="L18" i="12" s="1"/>
  <c r="L50" i="11"/>
  <c r="L122" i="11"/>
  <c r="L2" i="14"/>
  <c r="L84" i="11"/>
  <c r="L4" i="14"/>
  <c r="F682" i="8"/>
  <c r="L181" i="8"/>
  <c r="M82" i="8"/>
  <c r="M181" i="8" s="1"/>
  <c r="J282" i="8"/>
  <c r="K280" i="8"/>
  <c r="K207" i="8"/>
  <c r="K193" i="8"/>
  <c r="F181" i="8"/>
  <c r="H253" i="8"/>
  <c r="K536" i="8"/>
  <c r="I240" i="8"/>
  <c r="I208" i="8"/>
  <c r="I455" i="8" s="1"/>
  <c r="M671" i="8"/>
  <c r="M682" i="8" s="1"/>
  <c r="J203" i="8"/>
  <c r="J242" i="8" s="1"/>
  <c r="J189" i="8"/>
  <c r="L185" i="8"/>
  <c r="L199" i="8"/>
  <c r="F363" i="8"/>
  <c r="H369" i="8"/>
  <c r="J220" i="8"/>
  <c r="F30" i="8"/>
  <c r="L81" i="8"/>
  <c r="K180" i="8"/>
  <c r="K48" i="8"/>
  <c r="K216" i="8"/>
  <c r="K176" i="8"/>
  <c r="F44" i="8"/>
  <c r="J216" i="8"/>
  <c r="J206" i="8"/>
  <c r="J192" i="8"/>
  <c r="K177" i="8"/>
  <c r="M194" i="8"/>
  <c r="M289" i="8"/>
  <c r="K218" i="8"/>
  <c r="J218" i="8"/>
  <c r="F46" i="8"/>
  <c r="K51" i="8"/>
  <c r="M79" i="8"/>
  <c r="M178" i="8" s="1"/>
  <c r="L178" i="8"/>
  <c r="M813" i="8"/>
  <c r="F173" i="8"/>
  <c r="M80" i="8"/>
  <c r="M179" i="8" s="1"/>
  <c r="L218" i="8"/>
  <c r="K200" i="8"/>
  <c r="K239" i="8" s="1"/>
  <c r="K186" i="8"/>
  <c r="L174" i="8"/>
  <c r="M75" i="8"/>
  <c r="M174" i="8" s="1"/>
  <c r="M199" i="8"/>
  <c r="M185" i="8"/>
  <c r="I220" i="8"/>
  <c r="I222" i="8" s="1"/>
  <c r="K190" i="8"/>
  <c r="K204" i="8"/>
  <c r="K243" i="8" s="1"/>
  <c r="J51" i="8"/>
  <c r="L680" i="8"/>
  <c r="M216" i="8"/>
  <c r="M176" i="8"/>
  <c r="H247" i="8"/>
  <c r="H250" i="8" s="1"/>
  <c r="H222" i="8"/>
  <c r="L221" i="8"/>
  <c r="F49" i="8"/>
  <c r="K221" i="8"/>
  <c r="K682" i="8"/>
  <c r="K179" i="8"/>
  <c r="M177" i="8"/>
  <c r="J247" i="8"/>
  <c r="J222" i="8"/>
  <c r="M218" i="8"/>
  <c r="L671" i="8"/>
  <c r="L682" i="8" s="1"/>
  <c r="I499" i="8"/>
  <c r="I462" i="8"/>
  <c r="I471" i="8"/>
  <c r="I457" i="8"/>
  <c r="I463" i="8"/>
  <c r="I459" i="8"/>
  <c r="I458" i="8"/>
  <c r="I456" i="8"/>
  <c r="I461" i="8"/>
  <c r="I460" i="8"/>
  <c r="I52" i="8"/>
  <c r="I223" i="8"/>
  <c r="I229" i="8" s="1"/>
  <c r="H223" i="8"/>
  <c r="F680" i="8"/>
  <c r="J201" i="8"/>
  <c r="J187" i="8"/>
  <c r="K238" i="8"/>
  <c r="H726" i="8"/>
  <c r="F726" i="8" s="1"/>
  <c r="F500" i="8"/>
  <c r="J182" i="8"/>
  <c r="M47" i="8"/>
  <c r="M45" i="8"/>
  <c r="H700" i="8"/>
  <c r="H507" i="8"/>
  <c r="F174" i="8"/>
  <c r="I605" i="8"/>
  <c r="I790" i="8"/>
  <c r="H455" i="8"/>
  <c r="L216" i="8"/>
  <c r="L176" i="8"/>
  <c r="L76" i="8"/>
  <c r="K175" i="8"/>
  <c r="I203" i="8"/>
  <c r="I189" i="8"/>
  <c r="I195" i="8" s="1"/>
  <c r="L47" i="8"/>
  <c r="K219" i="8" s="1"/>
  <c r="L45" i="8"/>
  <c r="F45" i="8" s="1"/>
  <c r="H503" i="8"/>
  <c r="F199" i="8"/>
  <c r="H729" i="8"/>
  <c r="H728" i="8"/>
  <c r="M586" i="8"/>
  <c r="F47" i="8"/>
  <c r="J239" i="8"/>
  <c r="K600" i="8"/>
  <c r="J602" i="8"/>
  <c r="J603" i="8"/>
  <c r="O14" i="12" l="1"/>
  <c r="Q13" i="12"/>
  <c r="N110" i="11"/>
  <c r="N70" i="11"/>
  <c r="N7" i="13" s="1"/>
  <c r="N19" i="13"/>
  <c r="M81" i="11"/>
  <c r="M15" i="12"/>
  <c r="M16" i="12" s="1"/>
  <c r="M49" i="11"/>
  <c r="M47" i="11"/>
  <c r="M45" i="11"/>
  <c r="O37" i="11"/>
  <c r="O38" i="11" s="1"/>
  <c r="O150" i="10"/>
  <c r="O142" i="10"/>
  <c r="N46" i="11"/>
  <c r="N45" i="11" s="1"/>
  <c r="N151" i="10"/>
  <c r="N44" i="11"/>
  <c r="M83" i="11"/>
  <c r="M20" i="13"/>
  <c r="O105" i="11"/>
  <c r="O109" i="11" s="1"/>
  <c r="O43" i="11"/>
  <c r="K4" i="14"/>
  <c r="K84" i="11"/>
  <c r="K122" i="11"/>
  <c r="K2" i="14"/>
  <c r="K17" i="12"/>
  <c r="K52" i="11"/>
  <c r="K50" i="11"/>
  <c r="Q49" i="11"/>
  <c r="L5" i="14"/>
  <c r="L113" i="11"/>
  <c r="L114" i="11" s="1"/>
  <c r="L126" i="11"/>
  <c r="L53" i="11"/>
  <c r="L57" i="11"/>
  <c r="L58" i="11" s="1"/>
  <c r="I507" i="8"/>
  <c r="F238" i="8"/>
  <c r="H291" i="8"/>
  <c r="H469" i="8"/>
  <c r="H251" i="8"/>
  <c r="H470" i="8"/>
  <c r="H468" i="8"/>
  <c r="H451" i="8"/>
  <c r="H292" i="8"/>
  <c r="M238" i="8"/>
  <c r="H261" i="8"/>
  <c r="H258" i="8"/>
  <c r="H264" i="8"/>
  <c r="H260" i="8"/>
  <c r="H262" i="8"/>
  <c r="H259" i="8"/>
  <c r="H256" i="8"/>
  <c r="H257" i="8"/>
  <c r="H263" i="8"/>
  <c r="K187" i="8"/>
  <c r="K201" i="8"/>
  <c r="L188" i="8"/>
  <c r="L202" i="8"/>
  <c r="L241" i="8" s="1"/>
  <c r="M203" i="8"/>
  <c r="M242" i="8" s="1"/>
  <c r="M189" i="8"/>
  <c r="K220" i="8"/>
  <c r="K247" i="8" s="1"/>
  <c r="M217" i="8"/>
  <c r="M673" i="8"/>
  <c r="M205" i="8"/>
  <c r="M244" i="8" s="1"/>
  <c r="M81" i="8"/>
  <c r="L180" i="8"/>
  <c r="L48" i="8"/>
  <c r="K203" i="8"/>
  <c r="K242" i="8" s="1"/>
  <c r="K189" i="8"/>
  <c r="H793" i="8"/>
  <c r="H730" i="8"/>
  <c r="J499" i="8"/>
  <c r="J462" i="8"/>
  <c r="J471" i="8"/>
  <c r="J457" i="8"/>
  <c r="J463" i="8"/>
  <c r="J460" i="8"/>
  <c r="J458" i="8"/>
  <c r="J456" i="8"/>
  <c r="J461" i="8"/>
  <c r="J459" i="8"/>
  <c r="J52" i="8"/>
  <c r="J223" i="8"/>
  <c r="J229" i="8" s="1"/>
  <c r="K217" i="8"/>
  <c r="H229" i="8"/>
  <c r="L207" i="8"/>
  <c r="L246" i="8" s="1"/>
  <c r="L193" i="8"/>
  <c r="F193" i="8" s="1"/>
  <c r="M76" i="8"/>
  <c r="M175" i="8" s="1"/>
  <c r="L175" i="8"/>
  <c r="I792" i="8"/>
  <c r="I230" i="8"/>
  <c r="I231" i="8" s="1"/>
  <c r="J227" i="8"/>
  <c r="I228" i="8"/>
  <c r="K182" i="8"/>
  <c r="K205" i="8"/>
  <c r="K191" i="8"/>
  <c r="F179" i="8"/>
  <c r="K192" i="8"/>
  <c r="K206" i="8"/>
  <c r="K245" i="8" s="1"/>
  <c r="F185" i="8"/>
  <c r="M219" i="8"/>
  <c r="L673" i="8"/>
  <c r="L179" i="8"/>
  <c r="F671" i="8"/>
  <c r="L536" i="8"/>
  <c r="M536" i="8" s="1"/>
  <c r="J240" i="8"/>
  <c r="J208" i="8"/>
  <c r="J455" i="8" s="1"/>
  <c r="H370" i="8"/>
  <c r="F369" i="8"/>
  <c r="F370" i="8" s="1"/>
  <c r="K188" i="8"/>
  <c r="F188" i="8" s="1"/>
  <c r="K202" i="8"/>
  <c r="F176" i="8"/>
  <c r="I247" i="8"/>
  <c r="L190" i="8"/>
  <c r="F190" i="8" s="1"/>
  <c r="L204" i="8"/>
  <c r="F178" i="8"/>
  <c r="L217" i="8"/>
  <c r="L177" i="8"/>
  <c r="M190" i="8"/>
  <c r="M204" i="8"/>
  <c r="M243" i="8" s="1"/>
  <c r="J245" i="8"/>
  <c r="J605" i="8"/>
  <c r="J790" i="8"/>
  <c r="L219" i="8"/>
  <c r="J195" i="8"/>
  <c r="J507" i="8" s="1"/>
  <c r="I698" i="8"/>
  <c r="I725" i="8"/>
  <c r="I503" i="8"/>
  <c r="K499" i="8"/>
  <c r="K471" i="8"/>
  <c r="K457" i="8"/>
  <c r="K459" i="8"/>
  <c r="K463" i="8"/>
  <c r="K460" i="8"/>
  <c r="K462" i="8"/>
  <c r="K52" i="8"/>
  <c r="K461" i="8"/>
  <c r="K458" i="8"/>
  <c r="K456" i="8"/>
  <c r="K246" i="8"/>
  <c r="F246" i="8" s="1"/>
  <c r="F207" i="8"/>
  <c r="K282" i="8"/>
  <c r="L280" i="8"/>
  <c r="L600" i="8"/>
  <c r="K602" i="8"/>
  <c r="K603" i="8"/>
  <c r="M188" i="8"/>
  <c r="M202" i="8"/>
  <c r="M241" i="8" s="1"/>
  <c r="M200" i="8"/>
  <c r="M239" i="8" s="1"/>
  <c r="M186" i="8"/>
  <c r="I242" i="8"/>
  <c r="I253" i="8" s="1"/>
  <c r="L200" i="8"/>
  <c r="L239" i="8" s="1"/>
  <c r="F239" i="8" s="1"/>
  <c r="L186" i="8"/>
  <c r="F186" i="8" s="1"/>
  <c r="L238" i="8"/>
  <c r="M207" i="8"/>
  <c r="M246" i="8" s="1"/>
  <c r="M193" i="8"/>
  <c r="N47" i="11" l="1"/>
  <c r="N81" i="11"/>
  <c r="N49" i="11"/>
  <c r="N15" i="12"/>
  <c r="N16" i="12" s="1"/>
  <c r="O46" i="11"/>
  <c r="O45" i="11" s="1"/>
  <c r="O151" i="10"/>
  <c r="M122" i="11"/>
  <c r="M2" i="14"/>
  <c r="M17" i="12"/>
  <c r="M18" i="12" s="1"/>
  <c r="M52" i="11"/>
  <c r="M50" i="11"/>
  <c r="O44" i="11"/>
  <c r="O19" i="13"/>
  <c r="O110" i="11"/>
  <c r="O70" i="11"/>
  <c r="O7" i="13" s="1"/>
  <c r="M84" i="11"/>
  <c r="M4" i="14"/>
  <c r="N83" i="11"/>
  <c r="N20" i="13"/>
  <c r="Q52" i="11"/>
  <c r="K53" i="11"/>
  <c r="L54" i="11" s="1"/>
  <c r="K57" i="11"/>
  <c r="K58" i="11" s="1"/>
  <c r="K60" i="11" s="1"/>
  <c r="K113" i="11"/>
  <c r="K114" i="11" s="1"/>
  <c r="K126" i="11"/>
  <c r="K5" i="14"/>
  <c r="I257" i="8"/>
  <c r="I256" i="8"/>
  <c r="I264" i="8"/>
  <c r="I258" i="8"/>
  <c r="I259" i="8"/>
  <c r="I261" i="8"/>
  <c r="I262" i="8"/>
  <c r="I260" i="8"/>
  <c r="I263" i="8"/>
  <c r="M600" i="8"/>
  <c r="L602" i="8"/>
  <c r="L603" i="8"/>
  <c r="M280" i="8"/>
  <c r="M282" i="8" s="1"/>
  <c r="L282" i="8"/>
  <c r="L187" i="8"/>
  <c r="F187" i="8" s="1"/>
  <c r="L201" i="8"/>
  <c r="L240" i="8" s="1"/>
  <c r="L182" i="8"/>
  <c r="L203" i="8"/>
  <c r="L189" i="8"/>
  <c r="F189" i="8" s="1"/>
  <c r="F177" i="8"/>
  <c r="J250" i="8"/>
  <c r="L192" i="8"/>
  <c r="F192" i="8" s="1"/>
  <c r="L206" i="8"/>
  <c r="F180" i="8"/>
  <c r="H265" i="8"/>
  <c r="J792" i="8"/>
  <c r="K227" i="8"/>
  <c r="J230" i="8"/>
  <c r="J231" i="8" s="1"/>
  <c r="J228" i="8"/>
  <c r="K195" i="8"/>
  <c r="K507" i="8" s="1"/>
  <c r="K605" i="8"/>
  <c r="K790" i="8"/>
  <c r="L205" i="8"/>
  <c r="L244" i="8" s="1"/>
  <c r="L191" i="8"/>
  <c r="I250" i="8"/>
  <c r="K240" i="8"/>
  <c r="K208" i="8"/>
  <c r="H294" i="8"/>
  <c r="H297" i="8"/>
  <c r="H474" i="8"/>
  <c r="K698" i="8"/>
  <c r="K700" i="8" s="1"/>
  <c r="K725" i="8"/>
  <c r="K503" i="8"/>
  <c r="F175" i="8"/>
  <c r="M187" i="8"/>
  <c r="M201" i="8"/>
  <c r="M240" i="8" s="1"/>
  <c r="J253" i="8"/>
  <c r="L51" i="8"/>
  <c r="F48" i="8"/>
  <c r="F536" i="8"/>
  <c r="H792" i="8"/>
  <c r="H795" i="8" s="1"/>
  <c r="H861" i="8" s="1"/>
  <c r="H230" i="8"/>
  <c r="H231" i="8" s="1"/>
  <c r="I227" i="8"/>
  <c r="H228" i="8"/>
  <c r="M180" i="8"/>
  <c r="M48" i="8"/>
  <c r="L220" i="8" s="1"/>
  <c r="I729" i="8"/>
  <c r="I728" i="8"/>
  <c r="L243" i="8"/>
  <c r="F204" i="8"/>
  <c r="F191" i="8"/>
  <c r="F200" i="8"/>
  <c r="I700" i="8"/>
  <c r="K244" i="8"/>
  <c r="I504" i="8"/>
  <c r="J698" i="8"/>
  <c r="J700" i="8" s="1"/>
  <c r="J725" i="8"/>
  <c r="J503" i="8"/>
  <c r="M191" i="8"/>
  <c r="F182" i="8"/>
  <c r="L208" i="8"/>
  <c r="L455" i="8" s="1"/>
  <c r="K241" i="8"/>
  <c r="F241" i="8" s="1"/>
  <c r="F202" i="8"/>
  <c r="K222" i="8"/>
  <c r="O20" i="13" l="1"/>
  <c r="O83" i="11"/>
  <c r="M57" i="11"/>
  <c r="M58" i="11" s="1"/>
  <c r="M53" i="11"/>
  <c r="M54" i="11" s="1"/>
  <c r="O81" i="11"/>
  <c r="O47" i="11"/>
  <c r="O15" i="12"/>
  <c r="O49" i="11"/>
  <c r="N84" i="11"/>
  <c r="N4" i="14"/>
  <c r="N50" i="11"/>
  <c r="N17" i="12"/>
  <c r="N18" i="12" s="1"/>
  <c r="N52" i="11"/>
  <c r="M113" i="11"/>
  <c r="M114" i="11" s="1"/>
  <c r="M126" i="11"/>
  <c r="M5" i="14"/>
  <c r="N2" i="14"/>
  <c r="N122" i="11"/>
  <c r="L55" i="11"/>
  <c r="L56" i="11" s="1"/>
  <c r="L60" i="11" s="1"/>
  <c r="L59" i="11" s="1"/>
  <c r="K61" i="11"/>
  <c r="K59" i="11"/>
  <c r="K85" i="11"/>
  <c r="K92" i="11" s="1"/>
  <c r="L222" i="8"/>
  <c r="L247" i="8"/>
  <c r="F247" i="8" s="1"/>
  <c r="K729" i="8"/>
  <c r="K728" i="8"/>
  <c r="M602" i="8"/>
  <c r="M603" i="8"/>
  <c r="K504" i="8"/>
  <c r="L499" i="8"/>
  <c r="L457" i="8"/>
  <c r="F457" i="8" s="1"/>
  <c r="L459" i="8"/>
  <c r="F459" i="8" s="1"/>
  <c r="L460" i="8"/>
  <c r="F460" i="8" s="1"/>
  <c r="L463" i="8"/>
  <c r="F463" i="8" s="1"/>
  <c r="L462" i="8"/>
  <c r="F462" i="8" s="1"/>
  <c r="L223" i="8"/>
  <c r="L229" i="8" s="1"/>
  <c r="L52" i="8"/>
  <c r="F52" i="8" s="1"/>
  <c r="L461" i="8"/>
  <c r="F461" i="8" s="1"/>
  <c r="L456" i="8"/>
  <c r="F456" i="8" s="1"/>
  <c r="L471" i="8"/>
  <c r="F471" i="8" s="1"/>
  <c r="L458" i="8"/>
  <c r="F458" i="8" s="1"/>
  <c r="K223" i="8"/>
  <c r="F51" i="8"/>
  <c r="I265" i="8"/>
  <c r="F205" i="8"/>
  <c r="F244" i="8"/>
  <c r="J256" i="8"/>
  <c r="J264" i="8"/>
  <c r="J257" i="8"/>
  <c r="J258" i="8"/>
  <c r="J261" i="8"/>
  <c r="J259" i="8"/>
  <c r="J260" i="8"/>
  <c r="J262" i="8"/>
  <c r="J263" i="8"/>
  <c r="J504" i="8"/>
  <c r="F201" i="8"/>
  <c r="L195" i="8"/>
  <c r="H295" i="8"/>
  <c r="K253" i="8"/>
  <c r="K250" i="8"/>
  <c r="M220" i="8"/>
  <c r="M51" i="8"/>
  <c r="I469" i="8"/>
  <c r="J406" i="8"/>
  <c r="I291" i="8"/>
  <c r="I470" i="8"/>
  <c r="I451" i="8"/>
  <c r="I251" i="8"/>
  <c r="I468" i="8"/>
  <c r="I453" i="8"/>
  <c r="M192" i="8"/>
  <c r="M195" i="8" s="1"/>
  <c r="M507" i="8" s="1"/>
  <c r="M206" i="8"/>
  <c r="M182" i="8"/>
  <c r="L605" i="8"/>
  <c r="L790" i="8"/>
  <c r="J453" i="8"/>
  <c r="J291" i="8"/>
  <c r="J470" i="8"/>
  <c r="J451" i="8"/>
  <c r="J469" i="8"/>
  <c r="J468" i="8"/>
  <c r="J251" i="8"/>
  <c r="F243" i="8"/>
  <c r="F240" i="8"/>
  <c r="I793" i="8"/>
  <c r="I795" i="8" s="1"/>
  <c r="I861" i="8" s="1"/>
  <c r="I730" i="8"/>
  <c r="L242" i="8"/>
  <c r="F242" i="8" s="1"/>
  <c r="F203" i="8"/>
  <c r="J729" i="8"/>
  <c r="J728" i="8"/>
  <c r="H508" i="8"/>
  <c r="F222" i="8"/>
  <c r="H534" i="8"/>
  <c r="H436" i="8"/>
  <c r="H438" i="8"/>
  <c r="H437" i="8"/>
  <c r="H439" i="8"/>
  <c r="K455" i="8"/>
  <c r="F455" i="8" s="1"/>
  <c r="F208" i="8"/>
  <c r="L245" i="8"/>
  <c r="F245" i="8" s="1"/>
  <c r="F206" i="8"/>
  <c r="N57" i="11" l="1"/>
  <c r="N58" i="11" s="1"/>
  <c r="N53" i="11"/>
  <c r="N54" i="11" s="1"/>
  <c r="N5" i="14"/>
  <c r="N126" i="11"/>
  <c r="N113" i="11"/>
  <c r="N114" i="11" s="1"/>
  <c r="O52" i="11"/>
  <c r="O50" i="11"/>
  <c r="O17" i="12"/>
  <c r="O16" i="12"/>
  <c r="Q15" i="12"/>
  <c r="O122" i="11"/>
  <c r="O2" i="14"/>
  <c r="O84" i="11"/>
  <c r="O4" i="14"/>
  <c r="M55" i="11"/>
  <c r="M56" i="11" s="1"/>
  <c r="M60" i="11" s="1"/>
  <c r="M59" i="11" s="1"/>
  <c r="L85" i="11"/>
  <c r="L123" i="11" s="1"/>
  <c r="L124" i="11" s="1"/>
  <c r="L127" i="11" s="1"/>
  <c r="L133" i="11" s="1"/>
  <c r="L61" i="11"/>
  <c r="L75" i="11" s="1"/>
  <c r="K6" i="14"/>
  <c r="K123" i="11"/>
  <c r="K124" i="11" s="1"/>
  <c r="K127" i="11" s="1"/>
  <c r="K133" i="11" s="1"/>
  <c r="K19" i="12"/>
  <c r="K75" i="11"/>
  <c r="Q61" i="11"/>
  <c r="K406" i="8"/>
  <c r="J407" i="8"/>
  <c r="J415" i="8"/>
  <c r="J265" i="8"/>
  <c r="M247" i="8"/>
  <c r="M222" i="8"/>
  <c r="K453" i="8"/>
  <c r="K469" i="8"/>
  <c r="K470" i="8"/>
  <c r="K451" i="8"/>
  <c r="K291" i="8"/>
  <c r="K468" i="8"/>
  <c r="K251" i="8"/>
  <c r="K264" i="8"/>
  <c r="K256" i="8"/>
  <c r="K258" i="8"/>
  <c r="K257" i="8"/>
  <c r="K259" i="8"/>
  <c r="K262" i="8"/>
  <c r="K260" i="8"/>
  <c r="K261" i="8"/>
  <c r="K263" i="8"/>
  <c r="J793" i="8"/>
  <c r="J795" i="8" s="1"/>
  <c r="J861" i="8" s="1"/>
  <c r="J730" i="8"/>
  <c r="M499" i="8"/>
  <c r="M459" i="8"/>
  <c r="M456" i="8"/>
  <c r="M462" i="8"/>
  <c r="M458" i="8"/>
  <c r="M223" i="8"/>
  <c r="M229" i="8" s="1"/>
  <c r="M463" i="8"/>
  <c r="M52" i="8"/>
  <c r="M471" i="8"/>
  <c r="M461" i="8"/>
  <c r="M457" i="8"/>
  <c r="M460" i="8"/>
  <c r="L507" i="8"/>
  <c r="F195" i="8"/>
  <c r="H537" i="8"/>
  <c r="K793" i="8"/>
  <c r="K730" i="8"/>
  <c r="K229" i="8"/>
  <c r="F223" i="8"/>
  <c r="L253" i="8"/>
  <c r="I474" i="8"/>
  <c r="L698" i="8"/>
  <c r="L725" i="8"/>
  <c r="L503" i="8"/>
  <c r="F499" i="8"/>
  <c r="F503" i="8" s="1"/>
  <c r="M605" i="8"/>
  <c r="M790" i="8"/>
  <c r="M245" i="8"/>
  <c r="M208" i="8"/>
  <c r="M455" i="8" s="1"/>
  <c r="H441" i="8"/>
  <c r="L250" i="8"/>
  <c r="L792" i="8"/>
  <c r="L228" i="8"/>
  <c r="L230" i="8"/>
  <c r="L231" i="8" s="1"/>
  <c r="M227" i="8"/>
  <c r="H509" i="8"/>
  <c r="J474" i="8"/>
  <c r="J508" i="8" s="1"/>
  <c r="J509" i="8" s="1"/>
  <c r="I292" i="8"/>
  <c r="N55" i="11" l="1"/>
  <c r="N56" i="11" s="1"/>
  <c r="N60" i="11" s="1"/>
  <c r="N85" i="11" s="1"/>
  <c r="O113" i="11"/>
  <c r="O114" i="11" s="1"/>
  <c r="O126" i="11"/>
  <c r="O5" i="14"/>
  <c r="O18" i="12"/>
  <c r="Q17" i="12"/>
  <c r="O57" i="11"/>
  <c r="O58" i="11" s="1"/>
  <c r="O53" i="11"/>
  <c r="O54" i="11" s="1"/>
  <c r="O55" i="11" s="1"/>
  <c r="O56" i="11" s="1"/>
  <c r="O60" i="11" s="1"/>
  <c r="J116" i="11"/>
  <c r="M85" i="11"/>
  <c r="M123" i="11" s="1"/>
  <c r="M124" i="11" s="1"/>
  <c r="M127" i="11" s="1"/>
  <c r="M133" i="11" s="1"/>
  <c r="M61" i="11"/>
  <c r="M19" i="12" s="1"/>
  <c r="M20" i="12" s="1"/>
  <c r="L6" i="14"/>
  <c r="L62" i="11"/>
  <c r="L19" i="12"/>
  <c r="L20" i="12" s="1"/>
  <c r="L92" i="11"/>
  <c r="L13" i="14" s="1"/>
  <c r="K94" i="11"/>
  <c r="K13" i="14"/>
  <c r="K12" i="13"/>
  <c r="K76" i="11"/>
  <c r="L74" i="11"/>
  <c r="L11" i="13" s="1"/>
  <c r="L12" i="13"/>
  <c r="J417" i="8"/>
  <c r="J416" i="8"/>
  <c r="M250" i="8"/>
  <c r="M253" i="8"/>
  <c r="I297" i="8"/>
  <c r="I294" i="8"/>
  <c r="M792" i="8"/>
  <c r="M228" i="8"/>
  <c r="M230" i="8"/>
  <c r="M231" i="8" s="1"/>
  <c r="J428" i="8"/>
  <c r="J484" i="8"/>
  <c r="J430" i="8"/>
  <c r="J482" i="8"/>
  <c r="J481" i="8"/>
  <c r="J429" i="8"/>
  <c r="J480" i="8"/>
  <c r="J487" i="8"/>
  <c r="J483" i="8"/>
  <c r="J486" i="8"/>
  <c r="M504" i="8"/>
  <c r="L504" i="8"/>
  <c r="L700" i="8"/>
  <c r="F698" i="8"/>
  <c r="I508" i="8"/>
  <c r="L257" i="8"/>
  <c r="L256" i="8"/>
  <c r="L265" i="8" s="1"/>
  <c r="L258" i="8"/>
  <c r="L264" i="8"/>
  <c r="L261" i="8"/>
  <c r="L259" i="8"/>
  <c r="L262" i="8"/>
  <c r="L260" i="8"/>
  <c r="L263" i="8"/>
  <c r="L453" i="8"/>
  <c r="F453" i="8" s="1"/>
  <c r="L469" i="8"/>
  <c r="F469" i="8" s="1"/>
  <c r="L470" i="8"/>
  <c r="F470" i="8" s="1"/>
  <c r="L451" i="8"/>
  <c r="L291" i="8"/>
  <c r="L468" i="8"/>
  <c r="F468" i="8" s="1"/>
  <c r="L251" i="8"/>
  <c r="H515" i="8"/>
  <c r="K792" i="8"/>
  <c r="K795" i="8" s="1"/>
  <c r="K861" i="8" s="1"/>
  <c r="K230" i="8"/>
  <c r="K231" i="8" s="1"/>
  <c r="L227" i="8"/>
  <c r="K228" i="8"/>
  <c r="K265" i="8"/>
  <c r="L406" i="8"/>
  <c r="K415" i="8"/>
  <c r="K407" i="8"/>
  <c r="K474" i="8"/>
  <c r="K508" i="8" s="1"/>
  <c r="K509" i="8" s="1"/>
  <c r="J701" i="8"/>
  <c r="J734" i="8"/>
  <c r="J511" i="8"/>
  <c r="J510" i="8"/>
  <c r="F507" i="8"/>
  <c r="H734" i="8"/>
  <c r="H701" i="8"/>
  <c r="H511" i="8"/>
  <c r="H510" i="8"/>
  <c r="L729" i="8"/>
  <c r="L728" i="8"/>
  <c r="F728" i="8" s="1"/>
  <c r="F725" i="8"/>
  <c r="H868" i="8"/>
  <c r="H621" i="8"/>
  <c r="H561" i="8"/>
  <c r="F540" i="8"/>
  <c r="F250" i="8"/>
  <c r="M698" i="8"/>
  <c r="M700" i="8" s="1"/>
  <c r="M725" i="8"/>
  <c r="M503" i="8"/>
  <c r="J292" i="8"/>
  <c r="N59" i="11" l="1"/>
  <c r="N61" i="11"/>
  <c r="N75" i="11" s="1"/>
  <c r="O59" i="11"/>
  <c r="O85" i="11"/>
  <c r="O6" i="14" s="1"/>
  <c r="O61" i="11"/>
  <c r="O75" i="11" s="1"/>
  <c r="M6" i="14"/>
  <c r="M75" i="11"/>
  <c r="M62" i="11"/>
  <c r="M91" i="11"/>
  <c r="M92" i="11" s="1"/>
  <c r="M13" i="14" s="1"/>
  <c r="L76" i="11"/>
  <c r="L77" i="11" s="1"/>
  <c r="M74" i="11"/>
  <c r="M11" i="13" s="1"/>
  <c r="K13" i="13"/>
  <c r="K77" i="11"/>
  <c r="K67" i="11"/>
  <c r="K15" i="14"/>
  <c r="L93" i="11"/>
  <c r="N6" i="14"/>
  <c r="N123" i="11"/>
  <c r="N124" i="11" s="1"/>
  <c r="N127" i="11" s="1"/>
  <c r="N133" i="11" s="1"/>
  <c r="J294" i="8"/>
  <c r="J297" i="8"/>
  <c r="I534" i="8"/>
  <c r="I436" i="8"/>
  <c r="I438" i="8"/>
  <c r="I437" i="8"/>
  <c r="I439" i="8"/>
  <c r="H870" i="8"/>
  <c r="K734" i="8"/>
  <c r="K701" i="8"/>
  <c r="K511" i="8"/>
  <c r="K510" i="8"/>
  <c r="M258" i="8"/>
  <c r="M257" i="8"/>
  <c r="M256" i="8"/>
  <c r="M264" i="8"/>
  <c r="M261" i="8"/>
  <c r="M259" i="8"/>
  <c r="M262" i="8"/>
  <c r="M260" i="8"/>
  <c r="M263" i="8"/>
  <c r="K428" i="8"/>
  <c r="K432" i="8" s="1"/>
  <c r="K484" i="8"/>
  <c r="K430" i="8"/>
  <c r="K486" i="8"/>
  <c r="K482" i="8"/>
  <c r="K481" i="8"/>
  <c r="K480" i="8"/>
  <c r="K487" i="8"/>
  <c r="K429" i="8"/>
  <c r="K483" i="8"/>
  <c r="M468" i="8"/>
  <c r="M469" i="8"/>
  <c r="M291" i="8"/>
  <c r="M292" i="8" s="1"/>
  <c r="M470" i="8"/>
  <c r="M453" i="8"/>
  <c r="M451" i="8"/>
  <c r="M474" i="8" s="1"/>
  <c r="M508" i="8" s="1"/>
  <c r="M509" i="8" s="1"/>
  <c r="M251" i="8"/>
  <c r="H736" i="8"/>
  <c r="H517" i="8"/>
  <c r="H518" i="8"/>
  <c r="I509" i="8"/>
  <c r="F700" i="8"/>
  <c r="M729" i="8"/>
  <c r="M728" i="8"/>
  <c r="J514" i="8"/>
  <c r="J418" i="8"/>
  <c r="J410" i="8"/>
  <c r="J512" i="8"/>
  <c r="L474" i="8"/>
  <c r="K417" i="8"/>
  <c r="K416" i="8"/>
  <c r="L793" i="8"/>
  <c r="L795" i="8" s="1"/>
  <c r="L861" i="8" s="1"/>
  <c r="L730" i="8"/>
  <c r="J492" i="8"/>
  <c r="H540" i="8"/>
  <c r="H545" i="8" s="1"/>
  <c r="M540" i="8"/>
  <c r="L540" i="8"/>
  <c r="K540" i="8"/>
  <c r="J540" i="8"/>
  <c r="I540" i="8"/>
  <c r="I295" i="8"/>
  <c r="J295" i="8" s="1"/>
  <c r="H623" i="8"/>
  <c r="H625" i="8"/>
  <c r="L407" i="8"/>
  <c r="M406" i="8"/>
  <c r="L415" i="8"/>
  <c r="H521" i="8"/>
  <c r="H512" i="8"/>
  <c r="K292" i="8"/>
  <c r="F451" i="8"/>
  <c r="L292" i="8"/>
  <c r="F291" i="8"/>
  <c r="J432" i="8"/>
  <c r="J422" i="8"/>
  <c r="N91" i="11" l="1"/>
  <c r="O91" i="11"/>
  <c r="O12" i="14" s="1"/>
  <c r="N19" i="12"/>
  <c r="N20" i="12" s="1"/>
  <c r="O123" i="11"/>
  <c r="O124" i="11" s="1"/>
  <c r="O127" i="11" s="1"/>
  <c r="O133" i="11" s="1"/>
  <c r="I138" i="11" s="1"/>
  <c r="I139" i="11" s="1"/>
  <c r="H142" i="11" s="1"/>
  <c r="N62" i="11"/>
  <c r="O19" i="12"/>
  <c r="O20" i="12" s="1"/>
  <c r="O62" i="11"/>
  <c r="M12" i="14"/>
  <c r="M73" i="11"/>
  <c r="M10" i="13" s="1"/>
  <c r="N74" i="11"/>
  <c r="N11" i="13" s="1"/>
  <c r="M12" i="13"/>
  <c r="L13" i="13"/>
  <c r="L14" i="14"/>
  <c r="L94" i="11"/>
  <c r="K95" i="11"/>
  <c r="K68" i="11"/>
  <c r="K5" i="13" s="1"/>
  <c r="K4" i="13"/>
  <c r="K14" i="13"/>
  <c r="N92" i="11"/>
  <c r="N13" i="14" s="1"/>
  <c r="N12" i="14"/>
  <c r="L14" i="13"/>
  <c r="O12" i="13"/>
  <c r="N12" i="13"/>
  <c r="F483" i="8"/>
  <c r="M407" i="8"/>
  <c r="M415" i="8"/>
  <c r="H562" i="8"/>
  <c r="H563" i="8" s="1"/>
  <c r="H788" i="8" s="1"/>
  <c r="H791" i="8" s="1"/>
  <c r="H555" i="8"/>
  <c r="J516" i="8"/>
  <c r="I734" i="8"/>
  <c r="I701" i="8"/>
  <c r="I511" i="8"/>
  <c r="I510" i="8"/>
  <c r="K492" i="8"/>
  <c r="K516" i="8" s="1"/>
  <c r="K737" i="8" s="1"/>
  <c r="H522" i="8"/>
  <c r="H524" i="8"/>
  <c r="K514" i="8"/>
  <c r="K410" i="8"/>
  <c r="K418" i="8"/>
  <c r="M734" i="8"/>
  <c r="M701" i="8"/>
  <c r="M511" i="8"/>
  <c r="M510" i="8"/>
  <c r="H753" i="8"/>
  <c r="H702" i="8"/>
  <c r="H519" i="8"/>
  <c r="M793" i="8"/>
  <c r="M795" i="8" s="1"/>
  <c r="M861" i="8" s="1"/>
  <c r="M730" i="8"/>
  <c r="J803" i="8"/>
  <c r="K422" i="8"/>
  <c r="L508" i="8"/>
  <c r="F474" i="8"/>
  <c r="L487" i="8"/>
  <c r="F487" i="8" s="1"/>
  <c r="L484" i="8"/>
  <c r="F484" i="8" s="1"/>
  <c r="L430" i="8"/>
  <c r="F430" i="8" s="1"/>
  <c r="L486" i="8"/>
  <c r="F486" i="8" s="1"/>
  <c r="L481" i="8"/>
  <c r="F481" i="8" s="1"/>
  <c r="L482" i="8"/>
  <c r="F482" i="8" s="1"/>
  <c r="L480" i="8"/>
  <c r="L428" i="8"/>
  <c r="L432" i="8" s="1"/>
  <c r="F432" i="8" s="1"/>
  <c r="L429" i="8"/>
  <c r="F429" i="8" s="1"/>
  <c r="L483" i="8"/>
  <c r="H879" i="8"/>
  <c r="H630" i="8"/>
  <c r="H628" i="8"/>
  <c r="I537" i="8"/>
  <c r="J735" i="8"/>
  <c r="M265" i="8"/>
  <c r="H738" i="8"/>
  <c r="H739" i="8" s="1"/>
  <c r="K512" i="8"/>
  <c r="L417" i="8"/>
  <c r="L416" i="8"/>
  <c r="F416" i="8" s="1"/>
  <c r="M297" i="8"/>
  <c r="M294" i="8"/>
  <c r="L297" i="8"/>
  <c r="L294" i="8"/>
  <c r="I441" i="8"/>
  <c r="K295" i="8"/>
  <c r="L295" i="8" s="1"/>
  <c r="M295" i="8" s="1"/>
  <c r="J534" i="8"/>
  <c r="J537" i="8" s="1"/>
  <c r="J438" i="8"/>
  <c r="J437" i="8"/>
  <c r="J436" i="8"/>
  <c r="J439" i="8"/>
  <c r="K297" i="8"/>
  <c r="K294" i="8"/>
  <c r="F292" i="8"/>
  <c r="F861" i="8"/>
  <c r="F415" i="8"/>
  <c r="O92" i="11" l="1"/>
  <c r="O13" i="14" s="1"/>
  <c r="Q19" i="12"/>
  <c r="O74" i="11"/>
  <c r="O11" i="13" s="1"/>
  <c r="M76" i="11"/>
  <c r="M77" i="11" s="1"/>
  <c r="M14" i="13" s="1"/>
  <c r="N73" i="11"/>
  <c r="N10" i="13" s="1"/>
  <c r="J137" i="11"/>
  <c r="K78" i="11"/>
  <c r="J138" i="11"/>
  <c r="M93" i="11"/>
  <c r="L67" i="11"/>
  <c r="L95" i="11" s="1"/>
  <c r="L15" i="14"/>
  <c r="H525" i="8"/>
  <c r="M417" i="8"/>
  <c r="M416" i="8"/>
  <c r="M430" i="8"/>
  <c r="M486" i="8"/>
  <c r="M481" i="8"/>
  <c r="M428" i="8"/>
  <c r="M480" i="8"/>
  <c r="M492" i="8" s="1"/>
  <c r="M516" i="8" s="1"/>
  <c r="M737" i="8" s="1"/>
  <c r="M429" i="8"/>
  <c r="M483" i="8"/>
  <c r="M484" i="8"/>
  <c r="M487" i="8"/>
  <c r="M482" i="8"/>
  <c r="F294" i="8"/>
  <c r="L492" i="8"/>
  <c r="F480" i="8"/>
  <c r="H706" i="8"/>
  <c r="L509" i="8"/>
  <c r="F508" i="8"/>
  <c r="L514" i="8"/>
  <c r="L418" i="8"/>
  <c r="L410" i="8"/>
  <c r="J441" i="8"/>
  <c r="J515" i="8" s="1"/>
  <c r="H703" i="8"/>
  <c r="I515" i="8"/>
  <c r="L534" i="8"/>
  <c r="L537" i="8" s="1"/>
  <c r="L437" i="8"/>
  <c r="F437" i="8" s="1"/>
  <c r="L438" i="8"/>
  <c r="L436" i="8"/>
  <c r="L439" i="8"/>
  <c r="K735" i="8"/>
  <c r="M534" i="8"/>
  <c r="M537" i="8" s="1"/>
  <c r="M437" i="8"/>
  <c r="M436" i="8"/>
  <c r="M439" i="8"/>
  <c r="M438" i="8"/>
  <c r="F428" i="8"/>
  <c r="K803" i="8"/>
  <c r="L422" i="8"/>
  <c r="F417" i="8"/>
  <c r="I512" i="8"/>
  <c r="M512" i="8"/>
  <c r="H740" i="8"/>
  <c r="J737" i="8"/>
  <c r="K534" i="8"/>
  <c r="K438" i="8"/>
  <c r="K437" i="8"/>
  <c r="K436" i="8"/>
  <c r="K439" i="8"/>
  <c r="F297" i="8"/>
  <c r="I868" i="8"/>
  <c r="I621" i="8"/>
  <c r="F541" i="8"/>
  <c r="J561" i="8"/>
  <c r="I561" i="8"/>
  <c r="H633" i="8"/>
  <c r="J621" i="8"/>
  <c r="J868" i="8"/>
  <c r="J870" i="8" s="1"/>
  <c r="F542" i="8"/>
  <c r="M13" i="13" l="1"/>
  <c r="N76" i="11"/>
  <c r="N77" i="11" s="1"/>
  <c r="O73" i="11"/>
  <c r="O10" i="13" s="1"/>
  <c r="L68" i="11"/>
  <c r="L4" i="13"/>
  <c r="M94" i="11"/>
  <c r="M14" i="14"/>
  <c r="I623" i="8"/>
  <c r="I625" i="8"/>
  <c r="L734" i="8"/>
  <c r="L701" i="8"/>
  <c r="L511" i="8"/>
  <c r="L510" i="8"/>
  <c r="F509" i="8"/>
  <c r="F510" i="8" s="1"/>
  <c r="J753" i="8"/>
  <c r="L621" i="8"/>
  <c r="L868" i="8"/>
  <c r="L870" i="8" s="1"/>
  <c r="F544" i="8"/>
  <c r="K441" i="8"/>
  <c r="F436" i="8"/>
  <c r="I736" i="8"/>
  <c r="I517" i="8"/>
  <c r="I518" i="8" s="1"/>
  <c r="F438" i="8"/>
  <c r="H860" i="8"/>
  <c r="H707" i="8"/>
  <c r="H704" i="8"/>
  <c r="K537" i="8"/>
  <c r="F534" i="8"/>
  <c r="K541" i="8"/>
  <c r="J541" i="8"/>
  <c r="J545" i="8" s="1"/>
  <c r="I541" i="8"/>
  <c r="I545" i="8" s="1"/>
  <c r="L541" i="8"/>
  <c r="M541" i="8"/>
  <c r="I870" i="8"/>
  <c r="J542" i="8"/>
  <c r="M542" i="8"/>
  <c r="L542" i="8"/>
  <c r="K542" i="8"/>
  <c r="L516" i="8"/>
  <c r="F492" i="8"/>
  <c r="M441" i="8"/>
  <c r="M621" i="8"/>
  <c r="M868" i="8"/>
  <c r="M870" i="8" s="1"/>
  <c r="J736" i="8"/>
  <c r="J518" i="8"/>
  <c r="J517" i="8"/>
  <c r="J738" i="8" s="1"/>
  <c r="M432" i="8"/>
  <c r="F439" i="8"/>
  <c r="J625" i="8"/>
  <c r="J623" i="8"/>
  <c r="L803" i="8"/>
  <c r="M422" i="8"/>
  <c r="M803" i="8" s="1"/>
  <c r="M514" i="8"/>
  <c r="M418" i="8"/>
  <c r="M410" i="8"/>
  <c r="L441" i="8"/>
  <c r="L515" i="8" s="1"/>
  <c r="L736" i="8" s="1"/>
  <c r="H686" i="8"/>
  <c r="E639" i="8"/>
  <c r="H741" i="8"/>
  <c r="H804" i="8"/>
  <c r="H743" i="8"/>
  <c r="H744" i="8" s="1"/>
  <c r="L735" i="8"/>
  <c r="F735" i="8" s="1"/>
  <c r="L517" i="8"/>
  <c r="L738" i="8" s="1"/>
  <c r="F514" i="8"/>
  <c r="O76" i="11" l="1"/>
  <c r="O77" i="11" s="1"/>
  <c r="N13" i="13"/>
  <c r="N93" i="11"/>
  <c r="M67" i="11"/>
  <c r="M15" i="14"/>
  <c r="L5" i="13"/>
  <c r="L78" i="11"/>
  <c r="N14" i="13"/>
  <c r="I702" i="8"/>
  <c r="I519" i="8"/>
  <c r="I521" i="8"/>
  <c r="I562" i="8"/>
  <c r="I563" i="8" s="1"/>
  <c r="I788" i="8" s="1"/>
  <c r="I791" i="8" s="1"/>
  <c r="I555" i="8"/>
  <c r="J562" i="8"/>
  <c r="J563" i="8" s="1"/>
  <c r="J788" i="8" s="1"/>
  <c r="J791" i="8" s="1"/>
  <c r="J555" i="8"/>
  <c r="J706" i="8" s="1"/>
  <c r="M753" i="8"/>
  <c r="L737" i="8"/>
  <c r="F737" i="8" s="1"/>
  <c r="F516" i="8"/>
  <c r="H708" i="8"/>
  <c r="M735" i="8"/>
  <c r="H750" i="8"/>
  <c r="J702" i="8"/>
  <c r="J703" i="8" s="1"/>
  <c r="J519" i="8"/>
  <c r="J521" i="8"/>
  <c r="K515" i="8"/>
  <c r="F441" i="8"/>
  <c r="M544" i="8"/>
  <c r="L544" i="8"/>
  <c r="L753" i="8"/>
  <c r="F701" i="8"/>
  <c r="L623" i="8"/>
  <c r="L625" i="8"/>
  <c r="I738" i="8"/>
  <c r="I753" i="8"/>
  <c r="E648" i="8"/>
  <c r="H639" i="8"/>
  <c r="I639" i="8"/>
  <c r="J639" i="8"/>
  <c r="K639" i="8"/>
  <c r="M639" i="8"/>
  <c r="L639" i="8"/>
  <c r="M515" i="8"/>
  <c r="M736" i="8" s="1"/>
  <c r="I879" i="8"/>
  <c r="I630" i="8"/>
  <c r="I628" i="8"/>
  <c r="J739" i="8"/>
  <c r="J740" i="8"/>
  <c r="L518" i="8"/>
  <c r="L521" i="8" s="1"/>
  <c r="M623" i="8"/>
  <c r="M625" i="8"/>
  <c r="K621" i="8"/>
  <c r="K868" i="8"/>
  <c r="F543" i="8"/>
  <c r="F537" i="8"/>
  <c r="L561" i="8"/>
  <c r="K561" i="8"/>
  <c r="M561" i="8"/>
  <c r="L512" i="8"/>
  <c r="F511" i="8"/>
  <c r="F512" i="8" s="1"/>
  <c r="J879" i="8"/>
  <c r="J630" i="8"/>
  <c r="J633" i="8" s="1"/>
  <c r="J628" i="8"/>
  <c r="F734" i="8"/>
  <c r="I739" i="8"/>
  <c r="I740" i="8"/>
  <c r="O13" i="13" l="1"/>
  <c r="M95" i="11"/>
  <c r="M4" i="13"/>
  <c r="M68" i="11"/>
  <c r="N14" i="14"/>
  <c r="N94" i="11"/>
  <c r="O14" i="13"/>
  <c r="L522" i="8"/>
  <c r="L524" i="8"/>
  <c r="L525" i="8" s="1"/>
  <c r="E641" i="8"/>
  <c r="J686" i="8"/>
  <c r="I648" i="8"/>
  <c r="H648" i="8"/>
  <c r="J648" i="8"/>
  <c r="K648" i="8"/>
  <c r="L648" i="8"/>
  <c r="M648" i="8"/>
  <c r="K736" i="8"/>
  <c r="K517" i="8"/>
  <c r="K518" i="8"/>
  <c r="F515" i="8"/>
  <c r="J522" i="8"/>
  <c r="J524" i="8"/>
  <c r="J525" i="8" s="1"/>
  <c r="I633" i="8"/>
  <c r="L630" i="8"/>
  <c r="L633" i="8" s="1"/>
  <c r="L628" i="8"/>
  <c r="L879" i="8"/>
  <c r="J860" i="8"/>
  <c r="J707" i="8"/>
  <c r="J704" i="8"/>
  <c r="I706" i="8"/>
  <c r="F639" i="8"/>
  <c r="H644" i="8"/>
  <c r="J741" i="8"/>
  <c r="J804" i="8"/>
  <c r="J743" i="8"/>
  <c r="M517" i="8"/>
  <c r="M738" i="8" s="1"/>
  <c r="M739" i="8" s="1"/>
  <c r="M543" i="8"/>
  <c r="M545" i="8" s="1"/>
  <c r="L543" i="8"/>
  <c r="L545" i="8" s="1"/>
  <c r="K543" i="8"/>
  <c r="K545" i="8" s="1"/>
  <c r="F545" i="8"/>
  <c r="K870" i="8"/>
  <c r="F868" i="8"/>
  <c r="L702" i="8"/>
  <c r="L703" i="8" s="1"/>
  <c r="L519" i="8"/>
  <c r="I741" i="8"/>
  <c r="I804" i="8"/>
  <c r="I743" i="8"/>
  <c r="I744" i="8" s="1"/>
  <c r="M518" i="8"/>
  <c r="I522" i="8"/>
  <c r="I524" i="8"/>
  <c r="L739" i="8"/>
  <c r="K625" i="8"/>
  <c r="K623" i="8"/>
  <c r="F623" i="8" s="1"/>
  <c r="F621" i="8"/>
  <c r="L740" i="8"/>
  <c r="M630" i="8"/>
  <c r="M633" i="8" s="1"/>
  <c r="M686" i="8" s="1"/>
  <c r="M628" i="8"/>
  <c r="M879" i="8"/>
  <c r="I703" i="8"/>
  <c r="N15" i="14" l="1"/>
  <c r="O93" i="11"/>
  <c r="N67" i="11"/>
  <c r="M78" i="11"/>
  <c r="M5" i="13"/>
  <c r="M555" i="8"/>
  <c r="M706" i="8" s="1"/>
  <c r="I860" i="8"/>
  <c r="I707" i="8"/>
  <c r="I704" i="8"/>
  <c r="J750" i="8"/>
  <c r="I525" i="8"/>
  <c r="M702" i="8"/>
  <c r="M703" i="8" s="1"/>
  <c r="M519" i="8"/>
  <c r="M521" i="8"/>
  <c r="K702" i="8"/>
  <c r="K519" i="8"/>
  <c r="K521" i="8"/>
  <c r="J708" i="8"/>
  <c r="L860" i="8"/>
  <c r="L704" i="8"/>
  <c r="J744" i="8"/>
  <c r="L555" i="8"/>
  <c r="L706" i="8" s="1"/>
  <c r="L707" i="8" s="1"/>
  <c r="K738" i="8"/>
  <c r="F738" i="8" s="1"/>
  <c r="F517" i="8"/>
  <c r="F518" i="8" s="1"/>
  <c r="F519" i="8" s="1"/>
  <c r="M740" i="8"/>
  <c r="H687" i="8"/>
  <c r="H646" i="8"/>
  <c r="H688" i="8" s="1"/>
  <c r="H809" i="8" s="1"/>
  <c r="H877" i="8" s="1"/>
  <c r="E640" i="8"/>
  <c r="I686" i="8"/>
  <c r="K562" i="8"/>
  <c r="K563" i="8" s="1"/>
  <c r="K788" i="8" s="1"/>
  <c r="K791" i="8" s="1"/>
  <c r="K555" i="8"/>
  <c r="F736" i="8"/>
  <c r="L804" i="8"/>
  <c r="L743" i="8"/>
  <c r="F648" i="8"/>
  <c r="H653" i="8"/>
  <c r="L686" i="8"/>
  <c r="E643" i="8"/>
  <c r="E622" i="8"/>
  <c r="E624" i="8" s="1"/>
  <c r="K630" i="8"/>
  <c r="K628" i="8"/>
  <c r="F628" i="8" s="1"/>
  <c r="E628" i="8" s="1"/>
  <c r="K879" i="8"/>
  <c r="F879" i="8" s="1"/>
  <c r="F625" i="8"/>
  <c r="E650" i="8"/>
  <c r="J641" i="8"/>
  <c r="K641" i="8"/>
  <c r="L641" i="8"/>
  <c r="M641" i="8"/>
  <c r="K753" i="8"/>
  <c r="F753" i="8" s="1"/>
  <c r="F870" i="8"/>
  <c r="O14" i="14" l="1"/>
  <c r="O94" i="11"/>
  <c r="N4" i="13"/>
  <c r="N95" i="11"/>
  <c r="N68" i="11"/>
  <c r="L708" i="8"/>
  <c r="H689" i="8"/>
  <c r="F641" i="8"/>
  <c r="L750" i="8"/>
  <c r="K706" i="8"/>
  <c r="F706" i="8" s="1"/>
  <c r="F555" i="8"/>
  <c r="M707" i="8"/>
  <c r="M860" i="8"/>
  <c r="M704" i="8"/>
  <c r="J650" i="8"/>
  <c r="K650" i="8"/>
  <c r="L650" i="8"/>
  <c r="M650" i="8"/>
  <c r="E649" i="8"/>
  <c r="I640" i="8"/>
  <c r="J640" i="8"/>
  <c r="J644" i="8" s="1"/>
  <c r="K640" i="8"/>
  <c r="M640" i="8"/>
  <c r="L640" i="8"/>
  <c r="I708" i="8"/>
  <c r="K739" i="8"/>
  <c r="F739" i="8" s="1"/>
  <c r="H655" i="8"/>
  <c r="K740" i="8"/>
  <c r="M741" i="8"/>
  <c r="M804" i="8"/>
  <c r="M743" i="8"/>
  <c r="M744" i="8" s="1"/>
  <c r="K703" i="8"/>
  <c r="F702" i="8"/>
  <c r="L562" i="8"/>
  <c r="K522" i="8"/>
  <c r="K524" i="8"/>
  <c r="F521" i="8"/>
  <c r="F522" i="8" s="1"/>
  <c r="I750" i="8"/>
  <c r="K633" i="8"/>
  <c r="F630" i="8"/>
  <c r="E652" i="8"/>
  <c r="M643" i="8"/>
  <c r="L643" i="8"/>
  <c r="F643" i="8" s="1"/>
  <c r="M522" i="8"/>
  <c r="M524" i="8"/>
  <c r="M525" i="8" s="1"/>
  <c r="N5" i="13" l="1"/>
  <c r="N78" i="11"/>
  <c r="O15" i="14"/>
  <c r="O67" i="11"/>
  <c r="F640" i="8"/>
  <c r="I644" i="8"/>
  <c r="I649" i="8"/>
  <c r="J649" i="8"/>
  <c r="J653" i="8" s="1"/>
  <c r="J689" i="8" s="1"/>
  <c r="J711" i="8" s="1"/>
  <c r="K649" i="8"/>
  <c r="L649" i="8"/>
  <c r="M649" i="8"/>
  <c r="L563" i="8"/>
  <c r="L788" i="8" s="1"/>
  <c r="L791" i="8" s="1"/>
  <c r="M562" i="8"/>
  <c r="M563" i="8" s="1"/>
  <c r="M788" i="8" s="1"/>
  <c r="M791" i="8" s="1"/>
  <c r="K860" i="8"/>
  <c r="K707" i="8"/>
  <c r="K704" i="8"/>
  <c r="F703" i="8"/>
  <c r="F704" i="8" s="1"/>
  <c r="K804" i="8"/>
  <c r="K741" i="8"/>
  <c r="K743" i="8"/>
  <c r="L741" i="8"/>
  <c r="L652" i="8"/>
  <c r="F652" i="8" s="1"/>
  <c r="M652" i="8"/>
  <c r="H711" i="8"/>
  <c r="E642" i="8"/>
  <c r="K686" i="8"/>
  <c r="F686" i="8" s="1"/>
  <c r="F633" i="8"/>
  <c r="M750" i="8"/>
  <c r="K525" i="8"/>
  <c r="F524" i="8"/>
  <c r="F525" i="8" s="1"/>
  <c r="J655" i="8"/>
  <c r="J687" i="8"/>
  <c r="J690" i="8" s="1"/>
  <c r="J756" i="8" s="1"/>
  <c r="F650" i="8"/>
  <c r="H690" i="8"/>
  <c r="M708" i="8"/>
  <c r="O95" i="11" l="1"/>
  <c r="O4" i="13"/>
  <c r="O68" i="11"/>
  <c r="J767" i="8"/>
  <c r="J875" i="8"/>
  <c r="J899" i="8" s="1"/>
  <c r="J712" i="8"/>
  <c r="K750" i="8"/>
  <c r="F860" i="8"/>
  <c r="E651" i="8"/>
  <c r="K642" i="8"/>
  <c r="L642" i="8"/>
  <c r="L644" i="8" s="1"/>
  <c r="M642" i="8"/>
  <c r="M644" i="8" s="1"/>
  <c r="H875" i="8"/>
  <c r="H712" i="8"/>
  <c r="F649" i="8"/>
  <c r="I653" i="8"/>
  <c r="K744" i="8"/>
  <c r="L744" i="8"/>
  <c r="F744" i="8" s="1"/>
  <c r="H756" i="8"/>
  <c r="I655" i="8"/>
  <c r="I687" i="8"/>
  <c r="J646" i="8"/>
  <c r="J688" i="8" s="1"/>
  <c r="J809" i="8" s="1"/>
  <c r="I646" i="8"/>
  <c r="I688" i="8" s="1"/>
  <c r="I809" i="8" s="1"/>
  <c r="I877" i="8" s="1"/>
  <c r="K708" i="8"/>
  <c r="F707" i="8"/>
  <c r="F708" i="8" s="1"/>
  <c r="O5" i="13" l="1"/>
  <c r="O78" i="11"/>
  <c r="H767" i="8"/>
  <c r="L687" i="8"/>
  <c r="M687" i="8"/>
  <c r="F642" i="8"/>
  <c r="K644" i="8"/>
  <c r="M646" i="8" s="1"/>
  <c r="M688" i="8" s="1"/>
  <c r="M809" i="8" s="1"/>
  <c r="K651" i="8"/>
  <c r="L651" i="8"/>
  <c r="L653" i="8" s="1"/>
  <c r="L689" i="8" s="1"/>
  <c r="L711" i="8" s="1"/>
  <c r="M651" i="8"/>
  <c r="M653" i="8" s="1"/>
  <c r="M689" i="8" s="1"/>
  <c r="M711" i="8" s="1"/>
  <c r="F750" i="8"/>
  <c r="J713" i="8"/>
  <c r="I689" i="8"/>
  <c r="J877" i="8"/>
  <c r="H715" i="8"/>
  <c r="H713" i="8"/>
  <c r="I690" i="8"/>
  <c r="H899" i="8"/>
  <c r="M875" i="8" l="1"/>
  <c r="M899" i="8" s="1"/>
  <c r="M712" i="8"/>
  <c r="M690" i="8"/>
  <c r="M756" i="8" s="1"/>
  <c r="I756" i="8"/>
  <c r="H807" i="8"/>
  <c r="H874" i="8"/>
  <c r="F651" i="8"/>
  <c r="K653" i="8"/>
  <c r="K655" i="8" s="1"/>
  <c r="F655" i="8" s="1"/>
  <c r="M655" i="8"/>
  <c r="H716" i="8"/>
  <c r="I711" i="8"/>
  <c r="L875" i="8"/>
  <c r="L899" i="8" s="1"/>
  <c r="L712" i="8"/>
  <c r="K687" i="8"/>
  <c r="K646" i="8"/>
  <c r="K688" i="8" s="1"/>
  <c r="K809" i="8" s="1"/>
  <c r="K877" i="8" s="1"/>
  <c r="L646" i="8"/>
  <c r="L688" i="8" s="1"/>
  <c r="L809" i="8" s="1"/>
  <c r="L877" i="8" s="1"/>
  <c r="F877" i="8" s="1"/>
  <c r="F644" i="8"/>
  <c r="L690" i="8"/>
  <c r="L756" i="8" s="1"/>
  <c r="L655" i="8"/>
  <c r="H771" i="8" l="1"/>
  <c r="H816" i="8"/>
  <c r="H818" i="8" s="1"/>
  <c r="H717" i="8"/>
  <c r="H862" i="8"/>
  <c r="M767" i="8"/>
  <c r="M713" i="8"/>
  <c r="K690" i="8"/>
  <c r="F687" i="8"/>
  <c r="M877" i="8"/>
  <c r="I875" i="8"/>
  <c r="I712" i="8"/>
  <c r="K689" i="8"/>
  <c r="F653" i="8"/>
  <c r="H752" i="8"/>
  <c r="H880" i="8"/>
  <c r="H898" i="8"/>
  <c r="L767" i="8"/>
  <c r="I767" i="8"/>
  <c r="L713" i="8"/>
  <c r="I899" i="8" l="1"/>
  <c r="I713" i="8"/>
  <c r="I715" i="8"/>
  <c r="K756" i="8"/>
  <c r="F690" i="8"/>
  <c r="H751" i="8"/>
  <c r="H863" i="8"/>
  <c r="I817" i="8"/>
  <c r="H819" i="8"/>
  <c r="H824" i="8" s="1"/>
  <c r="K711" i="8"/>
  <c r="F689" i="8"/>
  <c r="H772" i="8"/>
  <c r="H754" i="8" l="1"/>
  <c r="K767" i="8"/>
  <c r="F767" i="8" s="1"/>
  <c r="F756" i="8"/>
  <c r="I874" i="8"/>
  <c r="I807" i="8"/>
  <c r="J715" i="8"/>
  <c r="K875" i="8"/>
  <c r="K712" i="8"/>
  <c r="F711" i="8"/>
  <c r="H806" i="8"/>
  <c r="H808" i="8" s="1"/>
  <c r="H811" i="8" s="1"/>
  <c r="H821" i="8" s="1"/>
  <c r="H796" i="8"/>
  <c r="I716" i="8"/>
  <c r="H866" i="8"/>
  <c r="I884" i="8" l="1"/>
  <c r="H798" i="8"/>
  <c r="H822" i="8"/>
  <c r="K899" i="8"/>
  <c r="F875" i="8"/>
  <c r="I862" i="8"/>
  <c r="I752" i="8"/>
  <c r="I898" i="8"/>
  <c r="H766" i="8"/>
  <c r="H758" i="8"/>
  <c r="I771" i="8"/>
  <c r="I816" i="8"/>
  <c r="I818" i="8" s="1"/>
  <c r="I717" i="8"/>
  <c r="K713" i="8"/>
  <c r="F712" i="8"/>
  <c r="F713" i="8" s="1"/>
  <c r="K715" i="8"/>
  <c r="L715" i="8"/>
  <c r="J874" i="8"/>
  <c r="J807" i="8"/>
  <c r="J716" i="8"/>
  <c r="H897" i="8"/>
  <c r="H872" i="8"/>
  <c r="H882" i="8" l="1"/>
  <c r="J771" i="8"/>
  <c r="J816" i="8"/>
  <c r="J717" i="8"/>
  <c r="L874" i="8"/>
  <c r="L807" i="8"/>
  <c r="L716" i="8"/>
  <c r="I751" i="8"/>
  <c r="I863" i="8"/>
  <c r="I772" i="8"/>
  <c r="J772" i="8" s="1"/>
  <c r="H768" i="8"/>
  <c r="J862" i="8"/>
  <c r="K874" i="8"/>
  <c r="K807" i="8"/>
  <c r="H900" i="8"/>
  <c r="J752" i="8"/>
  <c r="J898" i="8"/>
  <c r="M715" i="8"/>
  <c r="K716" i="8"/>
  <c r="F716" i="8"/>
  <c r="F717" i="8" s="1"/>
  <c r="M874" i="8" l="1"/>
  <c r="M807" i="8"/>
  <c r="M716" i="8"/>
  <c r="I866" i="8"/>
  <c r="L771" i="8"/>
  <c r="L816" i="8"/>
  <c r="L717" i="8"/>
  <c r="J751" i="8"/>
  <c r="J754" i="8" s="1"/>
  <c r="J863" i="8"/>
  <c r="J866" i="8" s="1"/>
  <c r="K771" i="8"/>
  <c r="F771" i="8" s="1"/>
  <c r="K816" i="8"/>
  <c r="K717" i="8"/>
  <c r="H902" i="8"/>
  <c r="H769" i="8"/>
  <c r="I754" i="8"/>
  <c r="L862" i="8"/>
  <c r="L752" i="8"/>
  <c r="L898" i="8"/>
  <c r="F898" i="8" s="1"/>
  <c r="K862" i="8"/>
  <c r="K752" i="8"/>
  <c r="F752" i="8" s="1"/>
  <c r="K898" i="8"/>
  <c r="F874" i="8"/>
  <c r="H885" i="8"/>
  <c r="H887" i="8" s="1"/>
  <c r="K751" i="8" l="1"/>
  <c r="K754" i="8" s="1"/>
  <c r="K863" i="8"/>
  <c r="K866" i="8" s="1"/>
  <c r="J897" i="8"/>
  <c r="J900" i="8" s="1"/>
  <c r="J902" i="8" s="1"/>
  <c r="J872" i="8"/>
  <c r="K772" i="8"/>
  <c r="L772" i="8" s="1"/>
  <c r="H774" i="8"/>
  <c r="I779" i="8" s="1"/>
  <c r="I780" i="8" s="1"/>
  <c r="M862" i="8"/>
  <c r="F862" i="8"/>
  <c r="J766" i="8"/>
  <c r="J768" i="8" s="1"/>
  <c r="J758" i="8"/>
  <c r="F751" i="8"/>
  <c r="F863" i="8"/>
  <c r="I897" i="8"/>
  <c r="I872" i="8"/>
  <c r="M752" i="8"/>
  <c r="M898" i="8"/>
  <c r="L751" i="8"/>
  <c r="L754" i="8" s="1"/>
  <c r="L863" i="8"/>
  <c r="L866" i="8" s="1"/>
  <c r="I766" i="8"/>
  <c r="I758" i="8"/>
  <c r="F754" i="8"/>
  <c r="M771" i="8"/>
  <c r="M816" i="8"/>
  <c r="M717" i="8"/>
  <c r="I900" i="8" l="1"/>
  <c r="I768" i="8"/>
  <c r="L897" i="8"/>
  <c r="L900" i="8" s="1"/>
  <c r="L902" i="8" s="1"/>
  <c r="L872" i="8"/>
  <c r="M751" i="8"/>
  <c r="M754" i="8" s="1"/>
  <c r="M863" i="8"/>
  <c r="M866" i="8" s="1"/>
  <c r="L766" i="8"/>
  <c r="L768" i="8" s="1"/>
  <c r="L758" i="8"/>
  <c r="M772" i="8"/>
  <c r="F866" i="8"/>
  <c r="K897" i="8"/>
  <c r="K900" i="8" s="1"/>
  <c r="K902" i="8" s="1"/>
  <c r="K872" i="8"/>
  <c r="I876" i="8"/>
  <c r="I814" i="8"/>
  <c r="K766" i="8"/>
  <c r="K768" i="8" s="1"/>
  <c r="K758" i="8"/>
  <c r="M766" i="8" l="1"/>
  <c r="M768" i="8" s="1"/>
  <c r="M758" i="8"/>
  <c r="M897" i="8"/>
  <c r="M900" i="8" s="1"/>
  <c r="M902" i="8" s="1"/>
  <c r="M872" i="8"/>
  <c r="F872" i="8"/>
  <c r="J817" i="8"/>
  <c r="J818" i="8" s="1"/>
  <c r="I815" i="8"/>
  <c r="I819" i="8" s="1"/>
  <c r="I824" i="8" s="1"/>
  <c r="F897" i="8"/>
  <c r="F766" i="8"/>
  <c r="F768" i="8"/>
  <c r="I769" i="8"/>
  <c r="I893" i="8"/>
  <c r="I880" i="8"/>
  <c r="I902" i="8"/>
  <c r="F900" i="8"/>
  <c r="B900" i="8"/>
  <c r="I895" i="8" l="1"/>
  <c r="I774" i="8"/>
  <c r="J779" i="8" s="1"/>
  <c r="J780" i="8" s="1"/>
  <c r="J769" i="8"/>
  <c r="I806" i="8"/>
  <c r="I808" i="8" s="1"/>
  <c r="I811" i="8" s="1"/>
  <c r="I821" i="8" s="1"/>
  <c r="I796" i="8"/>
  <c r="B902" i="8" a="1"/>
  <c r="B902" i="8" s="1"/>
  <c r="F902" i="8"/>
  <c r="I882" i="8"/>
  <c r="I885" i="8" l="1"/>
  <c r="I887" i="8"/>
  <c r="J884" i="8"/>
  <c r="I798" i="8"/>
  <c r="I822" i="8"/>
  <c r="J774" i="8"/>
  <c r="K779" i="8" s="1"/>
  <c r="K780" i="8" s="1"/>
  <c r="K876" i="8" s="1"/>
  <c r="K769" i="8"/>
  <c r="J876" i="8"/>
  <c r="J814" i="8"/>
  <c r="K893" i="8" l="1"/>
  <c r="K895" i="8" s="1"/>
  <c r="K880" i="8"/>
  <c r="K882" i="8" s="1"/>
  <c r="K817" i="8"/>
  <c r="K818" i="8" s="1"/>
  <c r="K814" i="8"/>
  <c r="J815" i="8"/>
  <c r="J819" i="8" s="1"/>
  <c r="J824" i="8" s="1"/>
  <c r="J893" i="8"/>
  <c r="J880" i="8"/>
  <c r="K774" i="8"/>
  <c r="L779" i="8" s="1"/>
  <c r="L780" i="8" s="1"/>
  <c r="L876" i="8" s="1"/>
  <c r="F876" i="8" s="1"/>
  <c r="L769" i="8"/>
  <c r="L774" i="8" l="1"/>
  <c r="M779" i="8" s="1"/>
  <c r="M780" i="8" s="1"/>
  <c r="M876" i="8" s="1"/>
  <c r="M769" i="8"/>
  <c r="M774" i="8" s="1"/>
  <c r="J895" i="8"/>
  <c r="F780" i="8"/>
  <c r="L893" i="8"/>
  <c r="L895" i="8" s="1"/>
  <c r="L880" i="8"/>
  <c r="L882" i="8" s="1"/>
  <c r="J882" i="8"/>
  <c r="F880" i="8"/>
  <c r="J806" i="8"/>
  <c r="J808" i="8" s="1"/>
  <c r="J811" i="8" s="1"/>
  <c r="J821" i="8" s="1"/>
  <c r="J796" i="8"/>
  <c r="L817" i="8"/>
  <c r="L818" i="8" s="1"/>
  <c r="L814" i="8"/>
  <c r="K815" i="8"/>
  <c r="K819" i="8" s="1"/>
  <c r="K824" i="8" s="1"/>
  <c r="K806" i="8" l="1"/>
  <c r="K808" i="8" s="1"/>
  <c r="K811" i="8" s="1"/>
  <c r="K821" i="8" s="1"/>
  <c r="K796" i="8"/>
  <c r="J885" i="8"/>
  <c r="F882" i="8"/>
  <c r="M817" i="8"/>
  <c r="M818" i="8" s="1"/>
  <c r="M814" i="8"/>
  <c r="M815" i="8" s="1"/>
  <c r="M819" i="8" s="1"/>
  <c r="M824" i="8" s="1"/>
  <c r="L815" i="8"/>
  <c r="L819" i="8" s="1"/>
  <c r="L824" i="8" s="1"/>
  <c r="J887" i="8"/>
  <c r="K884" i="8"/>
  <c r="K885" i="8" s="1"/>
  <c r="J798" i="8"/>
  <c r="J822" i="8" s="1"/>
  <c r="F893" i="8"/>
  <c r="B895" i="8"/>
  <c r="F895" i="8"/>
  <c r="M893" i="8"/>
  <c r="M895" i="8" s="1"/>
  <c r="M880" i="8"/>
  <c r="M882" i="8" s="1"/>
  <c r="L806" i="8" l="1"/>
  <c r="L808" i="8" s="1"/>
  <c r="L811" i="8" s="1"/>
  <c r="L821" i="8" s="1"/>
  <c r="L796" i="8"/>
  <c r="M806" i="8"/>
  <c r="M808" i="8" s="1"/>
  <c r="M811" i="8" s="1"/>
  <c r="M821" i="8" s="1"/>
  <c r="M796" i="8"/>
  <c r="L884" i="8"/>
  <c r="L885" i="8" s="1"/>
  <c r="K887" i="8"/>
  <c r="K798" i="8"/>
  <c r="K822" i="8"/>
  <c r="M798" i="8" l="1"/>
  <c r="M822" i="8" s="1"/>
  <c r="M884" i="8"/>
  <c r="M885" i="8" s="1"/>
  <c r="M887" i="8" s="1"/>
  <c r="L887" i="8"/>
  <c r="L798" i="8"/>
  <c r="L822" i="8"/>
  <c r="N158" i="10"/>
  <c r="N153" i="10"/>
  <c r="M153" i="10"/>
  <c r="M158" i="10"/>
  <c r="O153" i="10"/>
  <c r="O158" i="10"/>
  <c r="L158" i="10"/>
  <c r="L153" i="10"/>
  <c r="N157" i="10"/>
  <c r="L157" i="10"/>
  <c r="K158" i="10"/>
  <c r="M157" i="10"/>
  <c r="K153" i="10"/>
  <c r="O15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tc={54960D34-EE57-4E67-A9B9-35D735DFC5F2}</author>
    <author>tc={BECE8F36-DA2F-4972-BDEE-7DA746272B41}</author>
  </authors>
  <commentList>
    <comment ref="O39" authorId="0" shapeId="0" xr:uid="{54960D34-EE57-4E67-A9B9-35D735DFC5F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Check proprtion</t>
      </text>
    </comment>
    <comment ref="O42" authorId="1" shapeId="0" xr:uid="{BECE8F36-DA2F-4972-BDEE-7DA746272B4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Check proportion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700-000004000000}">
      <text>
        <r>
          <rPr>
            <sz val="10"/>
            <color rgb="FF000000"/>
            <rFont val="Verdana"/>
            <family val="2"/>
            <scheme val="minor"/>
          </rPr>
          <t>======
ID#AAABW51nNAE
tc={D90867B1-E689-4573-B3B9-1CB6E803F410}    (2024-10-09 07:34:33)
[Threaded comment]
Your version of Excel allows you to read this threaded comment; however, any edits to it will get removed if the file is opened in a newer version of Excel. Learn more: https://go.microsoft.com/fwlink/?linkid=870924
Comment:
    mercato monod a cui applichi quota mkt ita?</t>
        </r>
      </text>
    </comment>
    <comment ref="H15" authorId="0" shapeId="0" xr:uid="{00000000-0006-0000-0700-000001000000}">
      <text>
        <r>
          <rPr>
            <sz val="10"/>
            <color rgb="FF000000"/>
            <rFont val="Verdana"/>
            <family val="2"/>
            <scheme val="minor"/>
          </rPr>
          <t>======
ID#AAABW51nXUM
tc={9B4CCA26-E61C-41FC-850D-0EAFFAC91EA0}    (2024-10-09 07:34:33)
[Threaded comment]
Your version of Excel allows you to read this threaded comment; however, any edits to it will get removed if the file is opened in a newer version of Excel. Learn more: https://go.microsoft.com/fwlink/?linkid=870924
Comment:
    non capisco quota mercato h11 di chi è? mercato ita? a cui poi si appalica quota di mercato LG in questa cella</t>
        </r>
      </text>
    </comment>
    <comment ref="F26" authorId="0" shapeId="0" xr:uid="{00000000-0006-0000-0700-000012000000}">
      <text>
        <r>
          <rPr>
            <sz val="10"/>
            <color rgb="FF000000"/>
            <rFont val="Verdana"/>
            <family val="2"/>
            <scheme val="minor"/>
          </rPr>
          <t>======
ID#AAABW51nM_M
tc={DB9EA4E0-859C-4450-9287-380A565022F1}    (2024-10-09 07:34:33)
[Threaded comment]
Your version of Excel allows you to read this threaded comment; however, any edits to it will get removed if the file is opened in a newer version of Excel. Learn more: https://go.microsoft.com/fwlink/?linkid=870924
Comment:
    sposterei questa colonna tutto a dx perche confonde e non serve.</t>
        </r>
      </text>
    </comment>
    <comment ref="A58" authorId="0" shapeId="0" xr:uid="{00000000-0006-0000-0700-000014000000}">
      <text>
        <r>
          <rPr>
            <sz val="10"/>
            <color rgb="FF000000"/>
            <rFont val="Verdana"/>
            <family val="2"/>
            <scheme val="minor"/>
          </rPr>
          <t>======
ID#AAABW51nM20
tc={C287A6BF-6D8A-40FD-8C78-CFAAA8F6129D}    (2024-10-09 07:34:33)
[Threaded comment]
Your version of Excel allows you to read this threaded comment; however, any edits to it will get removed if the file is opened in a newer version of Excel. Learn more: https://go.microsoft.com/fwlink/?linkid=870924
Comment:
    tutta questa parte qui serve a te come rif ma non calcola nulla...deriva da tot rev corretto? la possimao nascondere?</t>
        </r>
      </text>
    </comment>
    <comment ref="A184" authorId="0" shapeId="0" xr:uid="{00000000-0006-0000-0700-00000E000000}">
      <text>
        <r>
          <rPr>
            <sz val="10"/>
            <color rgb="FF000000"/>
            <rFont val="Verdana"/>
            <family val="2"/>
            <scheme val="minor"/>
          </rPr>
          <t>======
ID#AAABW51nM_c
tc={59F6A1C8-ED34-4D98-B845-B8B5F4244318}    (2024-10-09 07:34:33)
[Threaded comment]
Your version of Excel allows you to read this threaded comment; however, any edits to it will get removed if the file is opened in a newer version of Excel. Learn more: https://go.microsoft.com/fwlink/?linkid=870924
Comment:
    se capisco bene questi sono i costi di produzione del prodotto finito. corretto? chiamolo sepmplicemetn Costo di Produzione.</t>
        </r>
      </text>
    </comment>
    <comment ref="F229" authorId="0" shapeId="0" xr:uid="{00000000-0006-0000-0700-000015000000}">
      <text>
        <r>
          <rPr>
            <sz val="10"/>
            <color rgb="FF000000"/>
            <rFont val="Verdana"/>
            <family val="2"/>
            <scheme val="minor"/>
          </rPr>
          <t>======
ID#AAABW51nM2w
tc={0BF9A35B-F9AC-4199-B6D8-C795706705A2}    (2024-10-09 07:34:33)
[Threaded comment]
Your version of Excel allows you to read this threaded comment; however, any edits to it will get removed if the file is opened in a newer version of Excel. Learn more: https://go.microsoft.com/fwlink/?linkid=870924
Comment:
    che calcolo e?</t>
        </r>
      </text>
    </comment>
    <comment ref="H231" authorId="0" shapeId="0" xr:uid="{00000000-0006-0000-0700-000013000000}">
      <text>
        <r>
          <rPr>
            <sz val="10"/>
            <color rgb="FF000000"/>
            <rFont val="Verdana"/>
            <family val="2"/>
            <scheme val="minor"/>
          </rPr>
          <t>======
ID#AAABW51nM24
tc={1DA08277-D983-4B5A-B899-6EB08732ACCC}    (2024-10-09 07:34:33)
[Threaded comment]
Your version of Excel allows you to read this threaded comment; however, any edits to it will get removed if the file is opened in a newer version of Excel. Learn more: https://go.microsoft.com/fwlink/?linkid=870924
Comment:
    perche non è uguale a linea 247???</t>
        </r>
      </text>
    </comment>
    <comment ref="H247" authorId="0" shapeId="0" xr:uid="{00000000-0006-0000-0700-00000B000000}">
      <text>
        <r>
          <rPr>
            <sz val="10"/>
            <color rgb="FF000000"/>
            <rFont val="Verdana"/>
            <family val="2"/>
            <scheme val="minor"/>
          </rPr>
          <t>======
ID#AAABW51nM_o
tc={651FB60E-F17C-4700-92DE-1E4E3B58DFBA}    (2024-10-09 07:34:33)
[Threaded comment]
Your version of Excel allows you to read this threaded comment; however, any edits to it will get removed if the file is opened in a newer version of Excel. Learn more: https://go.microsoft.com/fwlink/?linkid=870924
Comment:
    vedi commento sopra</t>
        </r>
      </text>
    </comment>
    <comment ref="H250" authorId="0" shapeId="0" xr:uid="{00000000-0006-0000-0700-00000A000000}">
      <text>
        <r>
          <rPr>
            <sz val="10"/>
            <color rgb="FF000000"/>
            <rFont val="Verdana"/>
            <family val="2"/>
            <scheme val="minor"/>
          </rPr>
          <t>======
ID#AAABW51nM_s
tc={5FA9AAC5-7B17-4FF7-8F16-4D06249DCD64}    (2024-10-09 07:34:33)
[Threaded comment]
Your version of Excel allows you to read this threaded comment; however, any edits to it will get removed if the file is opened in a newer version of Excel. Learn more: https://go.microsoft.com/fwlink/?linkid=870924
Comment:
    come entra qui le scorte di magazzino????</t>
        </r>
      </text>
    </comment>
    <comment ref="H291" authorId="0" shapeId="0" xr:uid="{00000000-0006-0000-0700-00000F000000}">
      <text>
        <r>
          <rPr>
            <sz val="10"/>
            <color rgb="FF000000"/>
            <rFont val="Verdana"/>
            <family val="2"/>
            <scheme val="minor"/>
          </rPr>
          <t>======
ID#AAABW51nM_Y
tc={B6365E1C-B189-4E13-A5ED-5E56D8AFC22C}    (2024-10-09 07:34:33)
[Threaded comment]
Your version of Excel allows you to read this threaded comment; however, any edits to it will get removed if the file is opened in a newer version of Excel. Learn more: https://go.microsoft.com/fwlink/?linkid=870924
Comment:
    qui dovrebbe essere 22000 come cella 250-251</t>
        </r>
      </text>
    </comment>
    <comment ref="H292" authorId="0" shapeId="0" xr:uid="{00000000-0006-0000-0700-00000D000000}">
      <text>
        <r>
          <rPr>
            <sz val="10"/>
            <color rgb="FF000000"/>
            <rFont val="Verdana"/>
            <family val="2"/>
            <scheme val="minor"/>
          </rPr>
          <t>======
ID#AAABW51nM_g
tc={81954F3A-8474-48A8-AC9E-668C3E7DD437}    (2024-10-09 07:34:33)
[Threaded comment]
Your version of Excel allows you to read this threaded comment; however, any edits to it will get removed if the file is opened in a newer version of Excel. Learn more: https://go.microsoft.com/fwlink/?linkid=870924
Comment:
    qui numero corretto eprche è 22000 meno la capacita esisitente. quindi a questo punot sotto ci dice che dobbiamo fare impianto per altri 10601 tons. Quest'impianto restera anche per anni successivi e quindi nelle colonne dopo dobbiamo modelizzare tenendo conto</t>
        </r>
      </text>
    </comment>
    <comment ref="I292" authorId="0" shapeId="0" xr:uid="{00000000-0006-0000-0700-000011000000}">
      <text>
        <r>
          <rPr>
            <sz val="10"/>
            <color rgb="FF000000"/>
            <rFont val="Verdana"/>
            <family val="2"/>
            <scheme val="minor"/>
          </rPr>
          <t>======
ID#AAABW51nM_Q
tc={A706054C-97B7-475F-8092-C9D85BECC32F}    (2024-10-09 07:34:33)
[Threaded comment]
Your version of Excel allows you to read this threaded comment; however, any edits to it will get removed if the file is opened in a newer version of Excel. Learn more: https://go.microsoft.com/fwlink/?linkid=870924
Comment:
    mi sembra non funzioni perche esclude i 10601???? dove è questa capacità di produzione? non è negli impianti esisitenti</t>
        </r>
      </text>
    </comment>
    <comment ref="F297" authorId="0" shapeId="0" xr:uid="{00000000-0006-0000-0700-000010000000}">
      <text>
        <r>
          <rPr>
            <sz val="10"/>
            <color rgb="FF000000"/>
            <rFont val="Verdana"/>
            <family val="2"/>
            <scheme val="minor"/>
          </rPr>
          <t>======
ID#AAABW51nM_U
tc={A50C2342-FAE1-4DB1-BD84-4B1438F809EB}    (2024-10-09 07:34:33)
[Threaded comment]
Your version of Excel allows you to read this threaded comment; however, any edits to it will get removed if the file is opened in a newer version of Excel. Learn more: https://go.microsoft.com/fwlink/?linkid=870924
Comment:
    se capisco bene per sostenre questo piano dobbima investire 15 mio per impanti che producano tutta la spirulina necesaria?</t>
        </r>
      </text>
    </comment>
    <comment ref="A322" authorId="0" shapeId="0" xr:uid="{00000000-0006-0000-0700-000008000000}">
      <text>
        <r>
          <rPr>
            <sz val="10"/>
            <color rgb="FF000000"/>
            <rFont val="Verdana"/>
            <family val="2"/>
            <scheme val="minor"/>
          </rPr>
          <t>======
ID#AAABW51nM_0
tc={745F1D52-6ABC-4987-96C8-BB0AE1F78BCC}    (2024-10-09 07:34:33)
[Threaded comment]
Your version of Excel allows you to read this threaded comment; however, any edits to it will get removed if the file is opened in a newer version of Excel. Learn more: https://go.microsoft.com/fwlink/?linkid=870924
Comment:
    forse questo biz va modellizzato piu a singoli clienti che con quota di mercato.. che non mi sembra molto rappresentativa...</t>
        </r>
      </text>
    </comment>
    <comment ref="A449" authorId="0" shapeId="0" xr:uid="{00000000-0006-0000-0700-000002000000}">
      <text>
        <r>
          <rPr>
            <sz val="10"/>
            <color rgb="FF000000"/>
            <rFont val="Verdana"/>
            <family val="2"/>
            <scheme val="minor"/>
          </rPr>
          <t>======
ID#AAABW51nXUI
tc={294902E2-EEE0-4794-B29A-FB8EF9203547}    (2024-10-09 07:34:33)
[Threaded comment]
Your version of Excel allows you to read this threaded comment; however, any edits to it will get removed if the file is opened in a newer version of Excel. Learn more: https://go.microsoft.com/fwlink/?linkid=870924
Comment:
    ok immagino che per ora nulla...ma è realistico pensare che resti cosi per 2027??? dobbiamo modellizzatre la soluzione senza gilberto</t>
        </r>
      </text>
    </comment>
    <comment ref="A508" authorId="0" shapeId="0" xr:uid="{00000000-0006-0000-0700-000009000000}">
      <text>
        <r>
          <rPr>
            <sz val="10"/>
            <color rgb="FF000000"/>
            <rFont val="Verdana"/>
            <family val="2"/>
            <scheme val="minor"/>
          </rPr>
          <t>======
ID#AAABW51nM_w
tc={CC657170-EEE2-4BEB-8338-42DCED3ECD01}    (2024-10-09 07:34:33)
[Threaded comment]
Your version of Excel allows you to read this threaded comment; however, any edits to it will get removed if the file is opened in a newer version of Excel. Learn more: https://go.microsoft.com/fwlink/?linkid=870924
Comment:
    questi non vanno nel Gross margin, solo costi linea 501!</t>
        </r>
      </text>
    </comment>
    <comment ref="A536" authorId="0" shapeId="0" xr:uid="{00000000-0006-0000-0700-000005000000}">
      <text>
        <r>
          <rPr>
            <sz val="10"/>
            <color rgb="FF000000"/>
            <rFont val="Verdana"/>
            <family val="2"/>
            <scheme val="minor"/>
          </rPr>
          <t>======
ID#AAABW51nNAA
tc={3384FAD4-F499-49A4-9AFC-72D66AA47F08}    (2024-10-09 07:34:33)
[Threaded comment]
Your version of Excel allows you to read this threaded comment; however, any edits to it will get removed if the file is opened in a newer version of Excel. Learn more: https://go.microsoft.com/fwlink/?linkid=870924
Comment:
    non capisoc tutta la pippa sopra per calcolare i KG che dovrebbe essere il driver per calcolare i capex necessari??? perche sono imputati a mano?</t>
        </r>
      </text>
    </comment>
    <comment ref="A743" authorId="0" shapeId="0" xr:uid="{00000000-0006-0000-0700-000003000000}">
      <text>
        <r>
          <rPr>
            <sz val="10"/>
            <color rgb="FF000000"/>
            <rFont val="Verdana"/>
            <family val="2"/>
            <scheme val="minor"/>
          </rPr>
          <t>======
ID#AAABW51nNAI
tc={880F0F4C-D712-459A-AA98-FFFAF784E051}    (2024-10-09 07:34:33)
[Threaded comment]
Your version of Excel allows you to read this threaded comment; however, any edits to it will get removed if the file is opened in a newer version of Excel. Learn more: https://go.microsoft.com/fwlink/?linkid=870924
Comment:
    manca il magazzino! deve essre aggiuihto!</t>
        </r>
      </text>
    </comment>
    <comment ref="A751" authorId="0" shapeId="0" xr:uid="{00000000-0006-0000-0700-000006000000}">
      <text>
        <r>
          <rPr>
            <sz val="10"/>
            <color rgb="FF000000"/>
            <rFont val="Verdana"/>
            <family val="2"/>
            <scheme val="minor"/>
          </rPr>
          <t>======
ID#AAABW51nM_8
tc={C2B077D6-A4DE-444C-9D6A-8A03FE2B94C5}    (2024-10-09 07:34:33)
[Threaded comment]
Your version of Excel allows you to read this threaded comment; however, any edits to it will get removed if the file is opened in a newer version of Excel. Learn more: https://go.microsoft.com/fwlink/?linkid=870924
Comment:
    questo è giusto perche lo prende da sotto</t>
        </r>
      </text>
    </comment>
    <comment ref="A811" authorId="0" shapeId="0" xr:uid="{00000000-0006-0000-0700-000007000000}">
      <text>
        <r>
          <rPr>
            <sz val="10"/>
            <color rgb="FF000000"/>
            <rFont val="Verdana"/>
            <family val="2"/>
            <scheme val="minor"/>
          </rPr>
          <t>======
ID#AAABW51nM_4
tc={89F04283-A6DD-4509-BF0E-BD6A11299FCF}    (2024-10-09 07:34:33)
[Threaded comment]
Your version of Excel allows you to read this threaded comment; however, any edits to it will get removed if the file is opened in a newer version of Excel. Learn more: https://go.microsoft.com/fwlink/?linkid=870924
Comment:
    sbaglaiot!!! non include i deb banche!!!! i calcoli sono giusti perche delta  esattamente deb banche. ma va aggiunto</t>
        </r>
      </text>
    </comment>
    <comment ref="A890" authorId="0" shapeId="0" xr:uid="{00000000-0006-0000-0700-00000C000000}">
      <text>
        <r>
          <rPr>
            <sz val="10"/>
            <color rgb="FF000000"/>
            <rFont val="Verdana"/>
            <family val="2"/>
            <scheme val="minor"/>
          </rPr>
          <t>======
ID#AAABW51nM_k
tc={C61057DA-0F6F-44AA-9111-36CDF91F8330}    (2024-10-09 07:34:33)
[Threaded comment]
Your version of Excel allows you to read this threaded comment; however, any edits to it will get removed if the file is opened in a newer version of Excel. Learn more: https://go.microsoft.com/fwlink/?linkid=870924
Comment:
    eliminerie tutto qui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uvXuoWEGejwTRxhUI0RnRJmDI3Q=="/>
    </ext>
  </extLst>
</comments>
</file>

<file path=xl/sharedStrings.xml><?xml version="1.0" encoding="utf-8"?>
<sst xmlns="http://schemas.openxmlformats.org/spreadsheetml/2006/main" count="1857" uniqueCount="828">
  <si>
    <t xml:space="preserve">SELECTION DE L'HYPOTHESE DU BP : </t>
  </si>
  <si>
    <t>PLAN DE TRESORERIE</t>
  </si>
  <si>
    <t>TOTAL 2025</t>
  </si>
  <si>
    <t xml:space="preserve"> - Nombre d'agents (véhiculé)</t>
  </si>
  <si>
    <t xml:space="preserve"> - Nombre de véhicules</t>
  </si>
  <si>
    <t xml:space="preserve"> - Nombre de Clients</t>
  </si>
  <si>
    <t>1. SOLDE EN DEBUT DE MOIS</t>
  </si>
  <si>
    <t>A. Encaissements</t>
  </si>
  <si>
    <t>A1. D'exploitation</t>
  </si>
  <si>
    <t xml:space="preserve"> - ventes encaissées</t>
  </si>
  <si>
    <t xml:space="preserve"> - règlements clients</t>
  </si>
  <si>
    <t>A2. Hors exploitation</t>
  </si>
  <si>
    <t xml:space="preserve"> - apport en capital</t>
  </si>
  <si>
    <t xml:space="preserve"> - apport en compte courant</t>
  </si>
  <si>
    <t xml:space="preserve"> - emprunts LMT contractés</t>
  </si>
  <si>
    <t xml:space="preserve"> - cession d'immobilisations</t>
  </si>
  <si>
    <t>2. TOTAL</t>
  </si>
  <si>
    <t>B. Décaissements</t>
  </si>
  <si>
    <t>B1. d'exploitation</t>
  </si>
  <si>
    <t xml:space="preserve"> - Cout agents</t>
  </si>
  <si>
    <t xml:space="preserve"> - leasing Véhicule</t>
  </si>
  <si>
    <t xml:space="preserve"> - Carburants véhicules / aussurances / entretien</t>
  </si>
  <si>
    <t xml:space="preserve"> - bureaux / garages véhicules</t>
  </si>
  <si>
    <t xml:space="preserve"> - fournitures, eau, énergie…</t>
  </si>
  <si>
    <t xml:space="preserve"> - frais de déplacements</t>
  </si>
  <si>
    <t xml:space="preserve"> - Dév presta externe</t>
  </si>
  <si>
    <t>marketing</t>
  </si>
  <si>
    <t>conseils finance</t>
  </si>
  <si>
    <t>cyber sécurité</t>
  </si>
  <si>
    <t>autres</t>
  </si>
  <si>
    <t xml:space="preserve"> - prestataires extérieur / Abonnements</t>
  </si>
  <si>
    <t>logiciel banque, treso, compta</t>
  </si>
  <si>
    <t>téléphone, internet,….</t>
  </si>
  <si>
    <t xml:space="preserve">salle de sport agents / API partenaires web / médias pro </t>
  </si>
  <si>
    <t>divers</t>
  </si>
  <si>
    <t xml:space="preserve"> - expert comptable</t>
  </si>
  <si>
    <t xml:space="preserve"> - Avocat</t>
  </si>
  <si>
    <t xml:space="preserve"> - tolls motorway</t>
  </si>
  <si>
    <t xml:space="preserve"> - vehicle maintenance ( oil change, tires, brakes,…)</t>
  </si>
  <si>
    <t xml:space="preserve"> - insurance</t>
  </si>
  <si>
    <t xml:space="preserve"> - car wash &amp; detailing</t>
  </si>
  <si>
    <t xml:space="preserve"> - tracking system</t>
  </si>
  <si>
    <t xml:space="preserve"> - parking spots</t>
  </si>
  <si>
    <t xml:space="preserve"> - permitting, passes airports</t>
  </si>
  <si>
    <t xml:space="preserve"> - computer stuff</t>
  </si>
  <si>
    <t xml:space="preserve"> - business cards, liflets, coupon code (print,goodies...)</t>
  </si>
  <si>
    <t xml:space="preserve"> - food, clothes, equipment</t>
  </si>
  <si>
    <t xml:space="preserve"> - traveling tickets, hotels,… (cadres)</t>
  </si>
  <si>
    <t xml:space="preserve"> - promo events, viva tech, big tech events, websummit</t>
  </si>
  <si>
    <t xml:space="preserve"> - hospitality expenses</t>
  </si>
  <si>
    <t xml:space="preserve"> - unexpected expenses hazardous events based on (2023)</t>
  </si>
  <si>
    <t xml:space="preserve"> - extra  drivers</t>
  </si>
  <si>
    <t xml:space="preserve"> - extra cars</t>
  </si>
  <si>
    <t xml:space="preserve"> - frais bancaire</t>
  </si>
  <si>
    <t xml:space="preserve"> - marketing / communication</t>
  </si>
  <si>
    <t xml:space="preserve"> - autres charges externes</t>
  </si>
  <si>
    <t xml:space="preserve"> - impôts, taxes et versements assimilés</t>
  </si>
  <si>
    <r>
      <rPr>
        <b/>
        <sz val="12"/>
        <color theme="1"/>
        <rFont val="Verdana"/>
        <family val="2"/>
      </rPr>
      <t xml:space="preserve"> - charges de personnel </t>
    </r>
    <r>
      <rPr>
        <b/>
        <sz val="10"/>
        <color theme="1"/>
        <rFont val="Verdana"/>
        <family val="2"/>
      </rPr>
      <t>(cotisation patronale + cotisation salariale)</t>
    </r>
  </si>
  <si>
    <t>CEO</t>
  </si>
  <si>
    <t>DAF</t>
  </si>
  <si>
    <t>CTO</t>
  </si>
  <si>
    <t>COO</t>
  </si>
  <si>
    <t>Assistante de direction</t>
  </si>
  <si>
    <t>Assistante service clients</t>
  </si>
  <si>
    <t>Assistante service agents</t>
  </si>
  <si>
    <t>Rh / Gestion agents</t>
  </si>
  <si>
    <t>assistante juridique</t>
  </si>
  <si>
    <t>Collaboratrice marketing / communication</t>
  </si>
  <si>
    <t>Développeur web</t>
  </si>
  <si>
    <t xml:space="preserve"> - impôt sur les bénéfices,</t>
  </si>
  <si>
    <t xml:space="preserve"> - TVA versée…</t>
  </si>
  <si>
    <t xml:space="preserve"> - charges financières</t>
  </si>
  <si>
    <t>B2. Hors exploitation</t>
  </si>
  <si>
    <t xml:space="preserve"> - remboursement emprunts (principal)</t>
  </si>
  <si>
    <t xml:space="preserve"> - cautions des véhicules</t>
  </si>
  <si>
    <t xml:space="preserve"> - investissement en immobilisation</t>
  </si>
  <si>
    <t>3. TOTAL</t>
  </si>
  <si>
    <t>4. Solde du mois = 2 - 3</t>
  </si>
  <si>
    <t>5. Solde de fin de mois = 1 + 4</t>
  </si>
  <si>
    <t>6. Cumul (mois X + mois X-1)</t>
  </si>
  <si>
    <t>Yr0 (actual)</t>
  </si>
  <si>
    <t>Yr1</t>
  </si>
  <si>
    <t>Yr2</t>
  </si>
  <si>
    <t>Yr3</t>
  </si>
  <si>
    <t>Yr4</t>
  </si>
  <si>
    <t>Yr5</t>
  </si>
  <si>
    <t>Yr6</t>
  </si>
  <si>
    <t>CALCOLO PENETRAZIONE MERCATO</t>
  </si>
  <si>
    <t>Mercato €/000</t>
  </si>
  <si>
    <t>Misura</t>
  </si>
  <si>
    <t>CAGR '23-'27</t>
  </si>
  <si>
    <t>Quota Mercato 2022</t>
  </si>
  <si>
    <t xml:space="preserve">Spirulina Bulk </t>
  </si>
  <si>
    <t>€/000</t>
  </si>
  <si>
    <t>Protein from Spirulina Bulk</t>
  </si>
  <si>
    <t>Spirulina 50 g (tablets or spaghettini)</t>
  </si>
  <si>
    <t>(vedi Spirulina)</t>
  </si>
  <si>
    <t>Alternative meat product</t>
  </si>
  <si>
    <t>Barrette per Terzi</t>
  </si>
  <si>
    <t>Phycocyanin</t>
  </si>
  <si>
    <t>Barrette a marchio</t>
  </si>
  <si>
    <t>(vedi Barrette)</t>
  </si>
  <si>
    <t>Drink Funzionali</t>
  </si>
  <si>
    <t>Phycogel Antivirale</t>
  </si>
  <si>
    <t>XXX</t>
  </si>
  <si>
    <t>sviluppo penetrazione nel mercato</t>
  </si>
  <si>
    <t>Ricavi  previsionali da penetrazione mercato</t>
  </si>
  <si>
    <t>Penetrazione media effettiva mercato potenziale</t>
  </si>
  <si>
    <t>%</t>
  </si>
  <si>
    <t>Ricavi per prodotto</t>
  </si>
  <si>
    <t>comprese royalties</t>
  </si>
  <si>
    <t>Totale ricavi prodotti finiti</t>
  </si>
  <si>
    <t>Totale ricavi B2B</t>
  </si>
  <si>
    <t>CALCOLO MARGINI UNITARI</t>
  </si>
  <si>
    <t>PREZZI DI VENDITA UNITARI</t>
  </si>
  <si>
    <t>Param</t>
  </si>
  <si>
    <t>Prezzi di vendita al consumo a confezione</t>
  </si>
  <si>
    <t>Senza IVA</t>
  </si>
  <si>
    <t>Con IVA</t>
  </si>
  <si>
    <t>Euro</t>
  </si>
  <si>
    <t>Variazione annua prezzi di vendita al consumo</t>
  </si>
  <si>
    <t>% annuo</t>
  </si>
  <si>
    <t>Prezzi di vendita al distributore</t>
  </si>
  <si>
    <t>NO % PER DISTRIBUTORE</t>
  </si>
  <si>
    <t>Variazione annua prezzi di vendita alla GDO</t>
  </si>
  <si>
    <t>Prezzi di vendita al distributore in base al peso</t>
  </si>
  <si>
    <t>Peso gr
x confez.</t>
  </si>
  <si>
    <t>Prezzo €
x confez.</t>
  </si>
  <si>
    <t>Prezzo €
vend./gr</t>
  </si>
  <si>
    <t>Prezzo €
vend./Kg</t>
  </si>
  <si>
    <t>Prezzi di vendita al negozio</t>
  </si>
  <si>
    <t>Variazione annua prezzi di vendita ai negozi</t>
  </si>
  <si>
    <t>Prezzi di vendita al negozio in base al peso</t>
  </si>
  <si>
    <t>COSTI DI PRODUZIONE UNITARI</t>
  </si>
  <si>
    <t>Costi di produzione a confezione</t>
  </si>
  <si>
    <t>Variazione annua costi di produzione</t>
  </si>
  <si>
    <t>Costi di produzione in base al peso di spirulina</t>
  </si>
  <si>
    <t>Costo €
x confez.</t>
  </si>
  <si>
    <t>Costo €
produz./gr</t>
  </si>
  <si>
    <t>Costo €
prod./Kg</t>
  </si>
  <si>
    <t>Peso gr
microalga
x confez.</t>
  </si>
  <si>
    <t>CALCOLO VOLUMI DI VENDITA</t>
  </si>
  <si>
    <t>Totale</t>
  </si>
  <si>
    <t>Composizione vendite Distributori</t>
  </si>
  <si>
    <t>Varietà
x Pallet</t>
  </si>
  <si>
    <t>Scatole
x Pallet</t>
  </si>
  <si>
    <t>Confez.
x Scatola</t>
  </si>
  <si>
    <t>Confez. Prima Formnitura</t>
  </si>
  <si>
    <t>Costo €
Prima Fornitura</t>
  </si>
  <si>
    <t>Prezzo €
Prima Fornitura</t>
  </si>
  <si>
    <t>Gr.Mar. €
Prima Fornitura</t>
  </si>
  <si>
    <t>Gr.Mar. %
Prima Fornitura</t>
  </si>
  <si>
    <t>Totale Varietà</t>
  </si>
  <si>
    <t>Calcolo del peso per prodotto</t>
  </si>
  <si>
    <t xml:space="preserve">Confezioni vendute </t>
  </si>
  <si>
    <t>#</t>
  </si>
  <si>
    <t>Totale confezioni vendute</t>
  </si>
  <si>
    <t>Costi di produzione al netto del personale e MKTG diretto</t>
  </si>
  <si>
    <t>SPIRULINA ACQUISTATA DA IMPIANTI C02</t>
  </si>
  <si>
    <t xml:space="preserve">Totale costi di produzione </t>
  </si>
  <si>
    <t>Peso delle confezioni vendute</t>
  </si>
  <si>
    <t>Kg</t>
  </si>
  <si>
    <t>Totale peso delle confezioni vendute</t>
  </si>
  <si>
    <t>5 Yrs</t>
  </si>
  <si>
    <t>CALCOLO GIACENZE DI MAGAZZINO</t>
  </si>
  <si>
    <t>Valorizzazione delle rimanenze in base ai giorni medi</t>
  </si>
  <si>
    <t>Yr0</t>
  </si>
  <si>
    <t>Utilizzo delle rimanenze</t>
  </si>
  <si>
    <t>Reintegro scorte</t>
  </si>
  <si>
    <t>Rimanenze di magazzino a fine anno</t>
  </si>
  <si>
    <t>Variazione delle rimanenze</t>
  </si>
  <si>
    <t>ipotesi kg di spirulina equivalenti</t>
  </si>
  <si>
    <t xml:space="preserve"> CALCOLO INVESTIMENTI PRODUZIONE SPIRULINA</t>
  </si>
  <si>
    <t>CALCOLO INVESTIMENTI IMPIANTI microalga</t>
  </si>
  <si>
    <t>Kg microalga da produrre per sostenere il BP</t>
  </si>
  <si>
    <t>Produzione del Magazzino di fine anno</t>
  </si>
  <si>
    <t>Capacita produttiva in anticipo (e investimenti in anticipo)</t>
  </si>
  <si>
    <t>MAGAZZINO</t>
  </si>
  <si>
    <t>Totale capacità produttiva per sostenere il BP</t>
  </si>
  <si>
    <t>PRODUZIONE ANNUA DI SPIRULINA</t>
  </si>
  <si>
    <t>(la capacità produttiva non tiene conto della ficocianina in quanto è comporesa nelle proteine)</t>
  </si>
  <si>
    <t>spirulina impiegata nei prodotti venduti</t>
  </si>
  <si>
    <t>valorizzazione spirulina per kg prodotto</t>
  </si>
  <si>
    <t>valore medio spirulina impiegata</t>
  </si>
  <si>
    <t>Calcolo investimenti per impianto GREEN FARM</t>
  </si>
  <si>
    <r>
      <rPr>
        <b/>
        <u/>
        <sz val="10"/>
        <color theme="1"/>
        <rFont val="Verdana"/>
        <family val="2"/>
      </rPr>
      <t>A (m</t>
    </r>
    <r>
      <rPr>
        <b/>
        <u/>
        <vertAlign val="superscript"/>
        <sz val="10"/>
        <color theme="1"/>
        <rFont val="Verdana"/>
        <family val="2"/>
      </rPr>
      <t>2</t>
    </r>
    <r>
      <rPr>
        <b/>
        <u/>
        <sz val="10"/>
        <color theme="1"/>
        <rFont val="Verdana"/>
        <family val="2"/>
      </rPr>
      <t>)</t>
    </r>
  </si>
  <si>
    <t>B (Kg)</t>
  </si>
  <si>
    <t>C (€)</t>
  </si>
  <si>
    <t>D (€)</t>
  </si>
  <si>
    <t>E. (€/Kg)</t>
  </si>
  <si>
    <r>
      <rPr>
        <b/>
        <sz val="10"/>
        <color theme="1"/>
        <rFont val="Verdana"/>
        <family val="2"/>
      </rPr>
      <t xml:space="preserve">A. </t>
    </r>
    <r>
      <rPr>
        <sz val="10"/>
        <color theme="1"/>
        <rFont val="Verdana"/>
        <family val="2"/>
      </rPr>
      <t>Spazio necessario per realizzare l'impianto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</si>
  <si>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Capacità produttiva di microalga dell'impianto</t>
    </r>
  </si>
  <si>
    <r>
      <rPr>
        <b/>
        <sz val="10"/>
        <color theme="1"/>
        <rFont val="Verdana"/>
        <family val="2"/>
      </rPr>
      <t xml:space="preserve">C. </t>
    </r>
    <r>
      <rPr>
        <sz val="10"/>
        <color theme="1"/>
        <rFont val="Verdana"/>
        <family val="2"/>
      </rPr>
      <t>Costi incrementativi di realizzazione</t>
    </r>
  </si>
  <si>
    <r>
      <rPr>
        <b/>
        <sz val="10"/>
        <color theme="1"/>
        <rFont val="Verdana"/>
        <family val="2"/>
      </rPr>
      <t xml:space="preserve">D. </t>
    </r>
    <r>
      <rPr>
        <sz val="10"/>
        <color theme="1"/>
        <rFont val="Verdana"/>
        <family val="2"/>
      </rPr>
      <t>Costi di realizzazione</t>
    </r>
  </si>
  <si>
    <r>
      <rPr>
        <b/>
        <sz val="10"/>
        <color theme="1"/>
        <rFont val="Verdana"/>
        <family val="2"/>
      </rPr>
      <t xml:space="preserve">E. </t>
    </r>
    <r>
      <rPr>
        <sz val="10"/>
        <color theme="1"/>
        <rFont val="Verdana"/>
        <family val="2"/>
      </rPr>
      <t>Costi di realizzazione al Kg</t>
    </r>
  </si>
  <si>
    <t>Superficie target impianti da realizzare</t>
  </si>
  <si>
    <t>mq</t>
  </si>
  <si>
    <t>Efficentamento annuo nella realizzazione degli impianti</t>
  </si>
  <si>
    <t>Investimento necessario per produrre 1 Kg di microalga</t>
  </si>
  <si>
    <t>Euro/Kg</t>
  </si>
  <si>
    <t>Capacità produttiva impianti esistenti</t>
  </si>
  <si>
    <t>ARBOREA 1</t>
  </si>
  <si>
    <t>ARBOREA 2</t>
  </si>
  <si>
    <t>CARBOSULCIS</t>
  </si>
  <si>
    <t>IMPIANTI REALIZZATI PER TERZI IN ITALIA</t>
  </si>
  <si>
    <t>Totale capacità produttiva impianti esistenti</t>
  </si>
  <si>
    <t>Totale capacità produttiva necessaria al netto di impianti esisitenti</t>
  </si>
  <si>
    <t>Totale capacità produttiva annua da realizzare</t>
  </si>
  <si>
    <t>Totale nuova superficie annua impianti necessaria</t>
  </si>
  <si>
    <r>
      <rPr>
        <b/>
        <sz val="10"/>
        <color theme="1"/>
        <rFont val="Verdana"/>
        <family val="2"/>
      </rPr>
      <t>m</t>
    </r>
    <r>
      <rPr>
        <b/>
        <vertAlign val="superscript"/>
        <sz val="10"/>
        <color theme="1"/>
        <rFont val="Verdana"/>
        <family val="2"/>
      </rPr>
      <t>2</t>
    </r>
  </si>
  <si>
    <t>Totale superficie impianti necessaria cumulativa</t>
  </si>
  <si>
    <r>
      <rPr>
        <b/>
        <sz val="10"/>
        <color theme="1"/>
        <rFont val="Verdana"/>
        <family val="2"/>
      </rPr>
      <t>m</t>
    </r>
    <r>
      <rPr>
        <b/>
        <vertAlign val="superscript"/>
        <sz val="10"/>
        <color theme="1"/>
        <rFont val="Verdana"/>
        <family val="2"/>
      </rPr>
      <t>2</t>
    </r>
  </si>
  <si>
    <t>Totale nuovi investimenti per la produzione di microalga</t>
  </si>
  <si>
    <t>IMPIANTI MICROALGHE e fitodepurazione CALCOLO VOLUMI DI VENDITA</t>
  </si>
  <si>
    <t>PRODOTTI E SERVIZI A PORTAFOGLIO</t>
  </si>
  <si>
    <t>Impianti</t>
  </si>
  <si>
    <t>Prod Kg
annua</t>
  </si>
  <si>
    <t>Prezzo
Euro</t>
  </si>
  <si>
    <t>Costo
Euro</t>
  </si>
  <si>
    <t>Margine
Euro</t>
  </si>
  <si>
    <t>Marg. %
€/000</t>
  </si>
  <si>
    <t>Costo
Euro/Kg</t>
  </si>
  <si>
    <t>IMPIANTI CONTO TERZI SEQUESTRO C02 IN ITALIA</t>
  </si>
  <si>
    <t>GRANDI IMPIANTI SEQUESTRO C02 ESTERO</t>
  </si>
  <si>
    <t>IMPIANTI SPECIALI</t>
  </si>
  <si>
    <t>xxx</t>
  </si>
  <si>
    <t>n/a</t>
  </si>
  <si>
    <t>Attività di consulenza e manutenzione impianti</t>
  </si>
  <si>
    <t>Consulenza e progettazione pre-vendita</t>
  </si>
  <si>
    <t>Euro UT</t>
  </si>
  <si>
    <t>stima 8gg uomo</t>
  </si>
  <si>
    <t>Consulenza post-vendita impianto</t>
  </si>
  <si>
    <t>Euro/gg</t>
  </si>
  <si>
    <t>FORMAZIONE</t>
  </si>
  <si>
    <t>Consulenza e Manutenzione impianti</t>
  </si>
  <si>
    <t>% impianto</t>
  </si>
  <si>
    <t>stima 16gg uomo</t>
  </si>
  <si>
    <t>Manutenzione impianti con fotobioreattori</t>
  </si>
  <si>
    <t>stima 6gg uomo</t>
  </si>
  <si>
    <t>Calcolo Clienti potenziali</t>
  </si>
  <si>
    <t>Mercato
potenziale</t>
  </si>
  <si>
    <t>Quota di
mercato</t>
  </si>
  <si>
    <t>Clienti
potenziali</t>
  </si>
  <si>
    <t>Imprese alto emmissive di CO2 (Acciaierie, vetrerie) (Italia)</t>
  </si>
  <si>
    <t>Imprese produttrici di Energia da Biomasse (Italia)</t>
  </si>
  <si>
    <t>Totale Nuovi Clienti potenziali</t>
  </si>
  <si>
    <t>Progressivo Clienti potenziali</t>
  </si>
  <si>
    <t>Sviluppo penetrazione mercato potenziale</t>
  </si>
  <si>
    <t>MIX VENDITA SERVIZI PER TIPOLOGIA CLIENTE</t>
  </si>
  <si>
    <t>#installazioni</t>
  </si>
  <si>
    <t>Ricavi Installazioni Impianti</t>
  </si>
  <si>
    <t>Prezzo k€</t>
  </si>
  <si>
    <t>Q.tà</t>
  </si>
  <si>
    <t>Totale k€</t>
  </si>
  <si>
    <t>PROGETTAZIONE IMPIANTI SPECIALI</t>
  </si>
  <si>
    <t>Totale ricavi</t>
  </si>
  <si>
    <t>Costi diretti Installazioni Impianti  Fotobioreattori</t>
  </si>
  <si>
    <t>Costo k€</t>
  </si>
  <si>
    <t>% Costi</t>
  </si>
  <si>
    <t xml:space="preserve">Totale costi diretti  Impianti </t>
  </si>
  <si>
    <t>Gross Margin Installazioni SPA, Wellness, Fotobioreattori</t>
  </si>
  <si>
    <t>Margine k€</t>
  </si>
  <si>
    <t>% su Ric.</t>
  </si>
  <si>
    <t>Totale Gross Margin Installazioni SPA, Wellness, Fotobioreattori</t>
  </si>
  <si>
    <t>% Gross Margin sui ricavi</t>
  </si>
  <si>
    <t>COSTI OPERATIVI</t>
  </si>
  <si>
    <t>COSTO DEL LAVORO</t>
  </si>
  <si>
    <t>Oneri sul costo del lavoro</t>
  </si>
  <si>
    <t>(serve solo per calcolare il lordo)</t>
  </si>
  <si>
    <t>Incidenza INPS e INAIL sul lordo</t>
  </si>
  <si>
    <t>Accantonamento TFR sul lordo</t>
  </si>
  <si>
    <t>Incidenza netto sul lordo</t>
  </si>
  <si>
    <t>Retribuzione Annua Lorda</t>
  </si>
  <si>
    <t>Retribuzione netta annua</t>
  </si>
  <si>
    <t>Costo aziendale annuo</t>
  </si>
  <si>
    <t>Retribuzione lorda mensile</t>
  </si>
  <si>
    <t>Retribuzione netta mensile</t>
  </si>
  <si>
    <t>CdA</t>
  </si>
  <si>
    <t>Lordo/aa
€/000</t>
  </si>
  <si>
    <t>A.D. - Resp. Operations</t>
  </si>
  <si>
    <t>C.F.O. - Resp. Finanziario</t>
  </si>
  <si>
    <t>Business Developping</t>
  </si>
  <si>
    <t>Dipendenti</t>
  </si>
  <si>
    <t xml:space="preserve">BioTecnologo Senior </t>
  </si>
  <si>
    <t xml:space="preserve"> Tecnico di laboratorio</t>
  </si>
  <si>
    <t xml:space="preserve"> BioTecnologo Junior</t>
  </si>
  <si>
    <t>Tecnico Ingegnere</t>
  </si>
  <si>
    <t xml:space="preserve"> Ingegnere Jr</t>
  </si>
  <si>
    <t>Marketing/Concept/branding</t>
  </si>
  <si>
    <t>Pr Communication</t>
  </si>
  <si>
    <t>Impiegati Mktg e vendite</t>
  </si>
  <si>
    <t>Chimico Industriale</t>
  </si>
  <si>
    <t>Segreteria amministrativa</t>
  </si>
  <si>
    <t>Operai Specializzati, Tecnici</t>
  </si>
  <si>
    <t>Operai e/o impiegati tecnici</t>
  </si>
  <si>
    <t>Lavoratori 2021</t>
  </si>
  <si>
    <t>Totale Personale</t>
  </si>
  <si>
    <t>Costo dipendenti B2B2C</t>
  </si>
  <si>
    <t>Variazione retribuzione lorda annua</t>
  </si>
  <si>
    <t xml:space="preserve">Totale retribuzione lorda </t>
  </si>
  <si>
    <t xml:space="preserve">Totale accantonamento TFR </t>
  </si>
  <si>
    <t>Totale costo dipendenti</t>
  </si>
  <si>
    <t>% su fatturato</t>
  </si>
  <si>
    <t>Trattamento di fine rapporto a bilancio</t>
  </si>
  <si>
    <t>ALTRI COSTI DEL PERSONALE</t>
  </si>
  <si>
    <t>Altri costi del personale</t>
  </si>
  <si>
    <t>Param.driver</t>
  </si>
  <si>
    <t>G&amp;A - Studio paghe</t>
  </si>
  <si>
    <t>k€ a dipendente&amp;cda</t>
  </si>
  <si>
    <t>G&amp;A - Formazione</t>
  </si>
  <si>
    <t>G&amp;A - Viaggi e Trasferte</t>
  </si>
  <si>
    <t>k€ a dipendente</t>
  </si>
  <si>
    <t>Totale altri costi del personale</t>
  </si>
  <si>
    <t>Variazione annua costi</t>
  </si>
  <si>
    <t>Viaggi e trasferte per impianti</t>
  </si>
  <si>
    <t>G&amp;A - Trasporti</t>
  </si>
  <si>
    <t xml:space="preserve">k€ in % a nuovi impianti </t>
  </si>
  <si>
    <t>G&amp;A - Alloggi</t>
  </si>
  <si>
    <t>G&amp;A - Ristoranti</t>
  </si>
  <si>
    <t>G&amp;A - Rimborsi Km</t>
  </si>
  <si>
    <t>Totale Viaggi e trasferte</t>
  </si>
  <si>
    <t>PRESTAZIONI DI TERZI</t>
  </si>
  <si>
    <t>Affitto impianto-Leasing</t>
  </si>
  <si>
    <t>Affitto Terreno Arborea</t>
  </si>
  <si>
    <t>Sales - Manutenzione GREEN FARM</t>
  </si>
  <si>
    <t>k€ per Kg prodotti</t>
  </si>
  <si>
    <t>Sales - Manutenz IMPIANTO BIOSTIMOLANTI</t>
  </si>
  <si>
    <t>costo annuo</t>
  </si>
  <si>
    <t>Sales - Manutenz IMPIANTO ESTRAZIONI - PROTEINE - FICOCIANINA</t>
  </si>
  <si>
    <t>Sales - Acquisto microalga impiantI terzi</t>
  </si>
  <si>
    <t>Sales - Trasporti</t>
  </si>
  <si>
    <t>k€ per Kg peso venduto</t>
  </si>
  <si>
    <t>Sales - Provvigioni agenti</t>
  </si>
  <si>
    <t>% ricavi food</t>
  </si>
  <si>
    <t>Sales - Materiale punto vendita</t>
  </si>
  <si>
    <t>Marketing - Campagne pubblicitarie</t>
  </si>
  <si>
    <t xml:space="preserve">Fisso + % ricavi </t>
  </si>
  <si>
    <t>Marketing - Sviluppo creatività agenzia</t>
  </si>
  <si>
    <t>Marketing - Spese fieristiche Eventi</t>
  </si>
  <si>
    <t>Marketing - Packaging development</t>
  </si>
  <si>
    <t>PR - Communicatione</t>
  </si>
  <si>
    <t>Technical - Ricerca e Sviluppo</t>
  </si>
  <si>
    <t xml:space="preserve">% ricavi </t>
  </si>
  <si>
    <t>Technical - Certificaz.prodotto</t>
  </si>
  <si>
    <t>Technical - Certificaz.processo</t>
  </si>
  <si>
    <t>Technical - Certificaz.ALTRE</t>
  </si>
  <si>
    <t>Technical - Certificaz.biologica</t>
  </si>
  <si>
    <t>G&amp;A - Assicurazione GREEN FARM</t>
  </si>
  <si>
    <t>G&amp;A - Elettricità + Acqua GREEN FARM</t>
  </si>
  <si>
    <t>( compreso nel costo produz)</t>
  </si>
  <si>
    <t>G&amp;A - Nutrienti GREEN FARM</t>
  </si>
  <si>
    <t>G&amp;A - Consulenze legali</t>
  </si>
  <si>
    <t>G&amp;A - Consulenze università</t>
  </si>
  <si>
    <t>Totale costi diretti prodotti</t>
  </si>
  <si>
    <t>Variazione annua costi (se driver=costo annuo o similare)</t>
  </si>
  <si>
    <t>ALTRE SPESE GENERALI</t>
  </si>
  <si>
    <t>Costi uffici</t>
  </si>
  <si>
    <t>Affitto ufficio</t>
  </si>
  <si>
    <t>Assicurazione RC</t>
  </si>
  <si>
    <t>Utenze - Elettricità</t>
  </si>
  <si>
    <t>Utenze - Riscaldamento</t>
  </si>
  <si>
    <t>Utenze - Connettività e telefono</t>
  </si>
  <si>
    <t>Hosting cloud/dropbox</t>
  </si>
  <si>
    <t>Hardware-Software e Manutenzione</t>
  </si>
  <si>
    <t>Cancelleria</t>
  </si>
  <si>
    <t>Spese postali</t>
  </si>
  <si>
    <t>Spese bancarie</t>
  </si>
  <si>
    <t>Altro</t>
  </si>
  <si>
    <t>Totale costi uffici</t>
  </si>
  <si>
    <t>CALCOLO MARGINE OPERATIVO LORDO (EBITDA)</t>
  </si>
  <si>
    <t xml:space="preserve">RICAVI </t>
  </si>
  <si>
    <t>Ricavi Prodotti</t>
  </si>
  <si>
    <t>Ricavi installazioni e Consulenza Impianti</t>
  </si>
  <si>
    <t>Contributi Regionali o Europei</t>
  </si>
  <si>
    <t>Altri ricavi e proventi</t>
  </si>
  <si>
    <t>TOTALE RICAVI</t>
  </si>
  <si>
    <t>Variazione annua</t>
  </si>
  <si>
    <t>Costi di produzione prodotti finiti</t>
  </si>
  <si>
    <t xml:space="preserve">Altri costi diretti produzione </t>
  </si>
  <si>
    <t xml:space="preserve">Costi diretti </t>
  </si>
  <si>
    <t>% costi diretti  su ricavi prodotti finiti</t>
  </si>
  <si>
    <t>Totale costi variabili</t>
  </si>
  <si>
    <t>% costi diretti su ricavi</t>
  </si>
  <si>
    <t>Spese per il personale</t>
  </si>
  <si>
    <t>Spese generali</t>
  </si>
  <si>
    <t>Imprevisti</t>
  </si>
  <si>
    <t>sui costi</t>
  </si>
  <si>
    <t>Totale costi fissi</t>
  </si>
  <si>
    <t>% costi fissi su ricavi</t>
  </si>
  <si>
    <t>TOTALE COSTI OPERATIVI</t>
  </si>
  <si>
    <t>% costi operativi su ricavi</t>
  </si>
  <si>
    <t>MARGINE OPERATIVO LORDO (EBITDA)</t>
  </si>
  <si>
    <t>% EBITDA su ricavi</t>
  </si>
  <si>
    <t>% sui ricavi</t>
  </si>
  <si>
    <t>CALCOLO DEGLI AMMORTAMENTI PER GLI INVESTIMENTI A PROGETTO</t>
  </si>
  <si>
    <t>AMMORTAMENTI PER INVESTIMENTI A PROGETTO</t>
  </si>
  <si>
    <t>Farm Spirulina</t>
  </si>
  <si>
    <t>Spirulina B2C</t>
  </si>
  <si>
    <t>PROTEIN Phycocyanin and other extract</t>
  </si>
  <si>
    <t>BIOFABBRICA</t>
  </si>
  <si>
    <t>Investimenti in Fixed Assets</t>
  </si>
  <si>
    <t>% in produzione nell'anno</t>
  </si>
  <si>
    <t>Durata ammortamento</t>
  </si>
  <si>
    <t>anni</t>
  </si>
  <si>
    <t>Ammortamento Yr1</t>
  </si>
  <si>
    <t>Ammortamento Yr2</t>
  </si>
  <si>
    <t>Ammortamento Yr3</t>
  </si>
  <si>
    <t>Ammortamento Yr4</t>
  </si>
  <si>
    <t>Ammortamento Yr5</t>
  </si>
  <si>
    <t>Ammortamento Fixed Assets</t>
  </si>
  <si>
    <t>Altri oneri accessori da capitalizzare</t>
  </si>
  <si>
    <t>NO</t>
  </si>
  <si>
    <t>Ammortamento Capitalized Expenses</t>
  </si>
  <si>
    <t>Totale ammortamenti per investimenti a progetto</t>
  </si>
  <si>
    <t>EVOLUZIONE FIXED ASSETS E CAPITALIZED EXPENSES</t>
  </si>
  <si>
    <t>Fixed Assets</t>
  </si>
  <si>
    <t>Costo storico immobilizzazioni</t>
  </si>
  <si>
    <t>Fondo ammortamento immobilizzazioni</t>
  </si>
  <si>
    <t>Valore netto immobilizzazioni</t>
  </si>
  <si>
    <t>Capitalized Expenses</t>
  </si>
  <si>
    <t>CALCOLO ALTRI INVESTIMENTI E RELATIVI AMMORTAMENTI</t>
  </si>
  <si>
    <t>ALTRE IMMOBILIZZAZIONI</t>
  </si>
  <si>
    <t>Altri investimenti Materiali - Prodotti</t>
  </si>
  <si>
    <t>Altri investimenti Materiali - Install. Impianti</t>
  </si>
  <si>
    <t>Totale altri investimenti Materiali</t>
  </si>
  <si>
    <t>Altri investimenti Immateriali</t>
  </si>
  <si>
    <t>Altri investimenti Immateriali -  Install. Impianti</t>
  </si>
  <si>
    <t>Totale altri investimenti Immateriali</t>
  </si>
  <si>
    <t>Totale altri investimenti</t>
  </si>
  <si>
    <t>Costo storico immobilizzazioni Materiali</t>
  </si>
  <si>
    <t>Costo storico immobilizzazioni Immateriali</t>
  </si>
  <si>
    <t>Ammortamento d'esercizio immobilizzazioni Materiali</t>
  </si>
  <si>
    <t>Ammortamento d'esercizio immobilizzazioni Immateriali</t>
  </si>
  <si>
    <t>Ammortamento d'esercizio immobilizzazioni</t>
  </si>
  <si>
    <t>Fondo ammortamento immobilizzazioni Materiali</t>
  </si>
  <si>
    <t>Fondo ammortamento immobilizzazioni Immateriali</t>
  </si>
  <si>
    <t>Valore netto immobilizzazioni Materiali</t>
  </si>
  <si>
    <t>Valore netto immobilizzazioni Immateriali</t>
  </si>
  <si>
    <t>IMMOBILIZZAZIONI ANNI PRECEDENTI</t>
  </si>
  <si>
    <t>Valore netto immobilizzazioni materiali anni precedenti</t>
  </si>
  <si>
    <t>Valore netto immobilizzazioni immateriali anni precedenti</t>
  </si>
  <si>
    <t>Valore netto immobilizzazioni anni precedenti</t>
  </si>
  <si>
    <t>Vaziazione annua</t>
  </si>
  <si>
    <t>Ammortamenti da immobilizzazioni anni precedenti</t>
  </si>
  <si>
    <t>CALCOLO DEBT SERVICE</t>
  </si>
  <si>
    <t>PROJECT FINANCING</t>
  </si>
  <si>
    <t>Investimenti in fixed assets</t>
  </si>
  <si>
    <t>Percentuale finanziata da Equity</t>
  </si>
  <si>
    <t>Valore dell'Equity</t>
  </si>
  <si>
    <t>Percentuale finanziata da Debito</t>
  </si>
  <si>
    <t>Valore del debito (A)</t>
  </si>
  <si>
    <t>IVA sugli investimenti in fixed assets (B)</t>
  </si>
  <si>
    <t>Altri oneri accessori da capitalizzare (C)</t>
  </si>
  <si>
    <t>Valore del debito da finanziare (A+B+C)</t>
  </si>
  <si>
    <t>Tiraggio del debito - Investimenti</t>
  </si>
  <si>
    <t>Tiraggio del debito - IVA su investimenti</t>
  </si>
  <si>
    <t>Tiraggio del debito - Altri oneri accessori</t>
  </si>
  <si>
    <t>Tiraggio del debito</t>
  </si>
  <si>
    <t>Tasso di interesse di riferimento (Euribor, …)</t>
  </si>
  <si>
    <t>Spread</t>
  </si>
  <si>
    <t>Tasso di interesse del debito</t>
  </si>
  <si>
    <t>Pagamento debito Yr1</t>
  </si>
  <si>
    <t>Pagamento debito Yr2</t>
  </si>
  <si>
    <t>Pagamento debito Yr3</t>
  </si>
  <si>
    <t>Pagamento debito Yr4</t>
  </si>
  <si>
    <t>Pagamento debito Yr5</t>
  </si>
  <si>
    <t>Pagamento annuo del debito (principal)</t>
  </si>
  <si>
    <t>Valore del debito a fine anno</t>
  </si>
  <si>
    <t>Valore annuo degli interessi Yr1</t>
  </si>
  <si>
    <t>Valore annuo degli interessi Yr2</t>
  </si>
  <si>
    <t>Valore annuo degli interessi Yr3</t>
  </si>
  <si>
    <t>Valore annuo degli interessi Yr4</t>
  </si>
  <si>
    <t>Valore annuo degli interessi Yr5</t>
  </si>
  <si>
    <t>Valore annuo degli interessi (interest)</t>
  </si>
  <si>
    <t>Debt service annuo (principal + interest)</t>
  </si>
  <si>
    <t>ALTRI FINANZIAMENTI</t>
  </si>
  <si>
    <t>Valore del finanziamento bancario</t>
  </si>
  <si>
    <t>Rimborso del capitale finanz. Yr1</t>
  </si>
  <si>
    <t>Rimborso del capitale finanz. Yr2</t>
  </si>
  <si>
    <t>Rimborso del capitale finanz. Yr3</t>
  </si>
  <si>
    <t>Rimborso del capitale finanz. Yr4</t>
  </si>
  <si>
    <t>Rimborso del capitale finanz. Yr5</t>
  </si>
  <si>
    <t>Rimborso del Capitale (principal)</t>
  </si>
  <si>
    <t>Pagamento degli interessi (interest)</t>
  </si>
  <si>
    <t>TOTALE DEBT SERVICE ANNUO</t>
  </si>
  <si>
    <t>CONTO ECONOMICO</t>
  </si>
  <si>
    <t>Ricavi PRODOTTI</t>
  </si>
  <si>
    <t>Altri ricavi</t>
  </si>
  <si>
    <t>RICAVI</t>
  </si>
  <si>
    <t>Costi variabili</t>
  </si>
  <si>
    <t>Costi fissi</t>
  </si>
  <si>
    <t>Risultato operativo lordo (EBITDA)</t>
  </si>
  <si>
    <t>% Margine</t>
  </si>
  <si>
    <t>Ammortamenti</t>
  </si>
  <si>
    <t>Risultato operativo netto (EBIT)</t>
  </si>
  <si>
    <t>Interessi attivi</t>
  </si>
  <si>
    <t>Interessi passivi</t>
  </si>
  <si>
    <t>Risultato prima delle imposte (EBT)</t>
  </si>
  <si>
    <t xml:space="preserve">Tasse Impresa </t>
  </si>
  <si>
    <t>RISULTATO NETTO</t>
  </si>
  <si>
    <t>CAPITALE CIRCOLANTE NETTO</t>
  </si>
  <si>
    <t>CALCOLO CREDITI COMMERCIALI</t>
  </si>
  <si>
    <t>Days Sales Oustanding</t>
  </si>
  <si>
    <t>Ricavi installazioni Impianti</t>
  </si>
  <si>
    <t>TOTALE RICAVI CON IVA</t>
  </si>
  <si>
    <t>CREDITI COMMERCIALI</t>
  </si>
  <si>
    <t>Decrementi / (incrementi) nei crediti</t>
  </si>
  <si>
    <t>CALCOLO DEBITI COMMERCIALI</t>
  </si>
  <si>
    <t>Days Payable Outstanding</t>
  </si>
  <si>
    <t>Costi diretti Prodotti</t>
  </si>
  <si>
    <t>TOTALE COSTI CON IVA</t>
  </si>
  <si>
    <t>DEBITI COMMERCIALI</t>
  </si>
  <si>
    <t>Incrementi / (decrementi) nei debiti</t>
  </si>
  <si>
    <t>Variazione del CCN</t>
  </si>
  <si>
    <t>CALCOLO DEL DEBT SERVICE COVERAGE RATIO (DSCR)</t>
  </si>
  <si>
    <t>CASH FLOW DISPONIBILE PER IL DEBT SERVICE</t>
  </si>
  <si>
    <t>Operating gross margin (EBITDA)</t>
  </si>
  <si>
    <t xml:space="preserve"> - Variazione del circolante (incl.rimanenze et altro)</t>
  </si>
  <si>
    <t xml:space="preserve"> - Tasse</t>
  </si>
  <si>
    <t xml:space="preserve"> - Investimenti</t>
  </si>
  <si>
    <t>Cash flow disponibile per il debt service (CFD)</t>
  </si>
  <si>
    <t>Debt service annuo (principal + interest) (DS)</t>
  </si>
  <si>
    <t>DEBT SERVICE COVERAGE RATIO (DSCR=CFD/DS)</t>
  </si>
  <si>
    <t>Ratio</t>
  </si>
  <si>
    <t>CALCOLO DEI DIVIDENDI</t>
  </si>
  <si>
    <t>CF disponibile per dividendi (CFDiv = CFD-DS)</t>
  </si>
  <si>
    <t xml:space="preserve">(A) CFDiv cumulato </t>
  </si>
  <si>
    <t xml:space="preserve">Risultato netto </t>
  </si>
  <si>
    <t>(B) Risultato netto cumulato</t>
  </si>
  <si>
    <t>Imponibile per l'erogazione dei dividendi: MIN (A;B)</t>
  </si>
  <si>
    <t>% Erogzione dividendi</t>
  </si>
  <si>
    <t>Distribuzione dividendi cumulata</t>
  </si>
  <si>
    <t>Distribuzione annua dividendi</t>
  </si>
  <si>
    <t>STATO PATRIMONIALE</t>
  </si>
  <si>
    <t>ATTIVITA'</t>
  </si>
  <si>
    <t>Immobilizzazioni nette a progetto</t>
  </si>
  <si>
    <t>Altre immobilizzazioni immateriali</t>
  </si>
  <si>
    <t>Altre immobilizzazioni materiali</t>
  </si>
  <si>
    <t>Immobilizzazioni</t>
  </si>
  <si>
    <t>Rimanenze</t>
  </si>
  <si>
    <t>Crediti verso Clienti</t>
  </si>
  <si>
    <t>Crediti tributari</t>
  </si>
  <si>
    <t>Crediti</t>
  </si>
  <si>
    <t>Disponibilità liquide</t>
  </si>
  <si>
    <t>Ratei e risconti attivi</t>
  </si>
  <si>
    <t>TOTALE ATTIVITA'</t>
  </si>
  <si>
    <t>PASSIVITA' E PATRIMONIO NETTO</t>
  </si>
  <si>
    <t>Fondi rischi ed oneri</t>
  </si>
  <si>
    <t>Trattamento di fine rapporto</t>
  </si>
  <si>
    <t>Debiti verso fornitori</t>
  </si>
  <si>
    <t>Debiti verso Soci</t>
  </si>
  <si>
    <t>Debiti verso Banche</t>
  </si>
  <si>
    <t>Debiti tributari</t>
  </si>
  <si>
    <t>Passività correnti</t>
  </si>
  <si>
    <t>Indebitamento finanziario a m/l termine</t>
  </si>
  <si>
    <t>Ratei e risconti passivi</t>
  </si>
  <si>
    <t>TOTALE PASSIVITA'</t>
  </si>
  <si>
    <t>Capitale Sociale</t>
  </si>
  <si>
    <t>Altre riserve</t>
  </si>
  <si>
    <t>Capitale proprio</t>
  </si>
  <si>
    <t>Utile/(Perdita) d'esecizio</t>
  </si>
  <si>
    <t>Utili/(Perdite) esercizi precedenti</t>
  </si>
  <si>
    <t>Risultati d'esercizio</t>
  </si>
  <si>
    <t>TOTALE PATRIMONIO NETTO</t>
  </si>
  <si>
    <t>TOTALE PASSIVITA' E PATRIMONIO NETTO</t>
  </si>
  <si>
    <t>Check</t>
  </si>
  <si>
    <t>Cassa (se positiva, attività, se negativa, passività)</t>
  </si>
  <si>
    <t>VARIAZIONE MEZZI PROPRI (EQUITY)</t>
  </si>
  <si>
    <t>Socio 1</t>
  </si>
  <si>
    <t>Socio 2</t>
  </si>
  <si>
    <t>Socio 3</t>
  </si>
  <si>
    <t>Socio 4</t>
  </si>
  <si>
    <t>Socio 5</t>
  </si>
  <si>
    <t>Versamento capitale sociale</t>
  </si>
  <si>
    <t>Versamento a riserve di PN</t>
  </si>
  <si>
    <t>Finaziamento Soci</t>
  </si>
  <si>
    <t>RENDICONTO FINANZIARIO</t>
  </si>
  <si>
    <t>Flussi di cassa generati dalle attività operative</t>
  </si>
  <si>
    <t>Flussi di cassa netti generati dalle attività operative</t>
  </si>
  <si>
    <t>Acquisto di immobilizzazioni a progetto</t>
  </si>
  <si>
    <t>Acquisto di altre immobilizzazioni</t>
  </si>
  <si>
    <t>Flussi netti impiegati nelle attività di investimento</t>
  </si>
  <si>
    <t>Flussi netti prima delle attività finanziarie</t>
  </si>
  <si>
    <t>Imposte corrisposte</t>
  </si>
  <si>
    <t>Interessi corrisposti</t>
  </si>
  <si>
    <t>Dividendi corrisposti</t>
  </si>
  <si>
    <t>Rimborsi di prestiti</t>
  </si>
  <si>
    <t>Flussi derivanti da aumenti di capitale e finanziamenti soci</t>
  </si>
  <si>
    <t>Nuovi prestiti bancari</t>
  </si>
  <si>
    <t>Flussi derivanti dalle attività finanziarie</t>
  </si>
  <si>
    <t>INCREMENTO/(DECREMENTO) NETTO DI CASSA</t>
  </si>
  <si>
    <t>Disponibilità liquide all'inizio dell'esercizio</t>
  </si>
  <si>
    <t>Disponibilità liquide alla fine dell'esercizio</t>
  </si>
  <si>
    <t>check cash flow</t>
  </si>
  <si>
    <t>Scadenze di pagamento</t>
  </si>
  <si>
    <t>Data</t>
  </si>
  <si>
    <t>IRR dell'equity</t>
  </si>
  <si>
    <t xml:space="preserve"> </t>
  </si>
  <si>
    <t>IRR del progetto</t>
  </si>
  <si>
    <t>NPV del progetto</t>
  </si>
  <si>
    <t>TOTAL 2026</t>
  </si>
  <si>
    <t>TOTAL 2027</t>
  </si>
  <si>
    <t>TOTAL 2028</t>
  </si>
  <si>
    <t xml:space="preserve"> - Nombre d'agents Actif plateforme</t>
  </si>
  <si>
    <t xml:space="preserve"> - Nombre d'agents Total plateforme</t>
  </si>
  <si>
    <t>Remboursement</t>
  </si>
  <si>
    <t>Montant nominal</t>
  </si>
  <si>
    <t>Emprunts</t>
  </si>
  <si>
    <t>durée (années) d'amortissement</t>
  </si>
  <si>
    <t>Equipements, logiciel intern</t>
  </si>
  <si>
    <t>Voitures</t>
  </si>
  <si>
    <t>App (Developped Technology)</t>
  </si>
  <si>
    <t>Immobilisation cumulée</t>
  </si>
  <si>
    <t>Amortissement</t>
  </si>
  <si>
    <t>Total Capex</t>
  </si>
  <si>
    <t>New Cars</t>
  </si>
  <si>
    <t>#Cars Maibach</t>
  </si>
  <si>
    <t>#Cars Lux</t>
  </si>
  <si>
    <t>#Cars Van</t>
  </si>
  <si>
    <t>#Cars Confort</t>
  </si>
  <si>
    <t>#Cars Eco</t>
  </si>
  <si>
    <t>Investissement in Proprietary Cars fleet</t>
  </si>
  <si>
    <t>#dev</t>
  </si>
  <si>
    <t>Investissement in IT</t>
  </si>
  <si>
    <t>Capex</t>
  </si>
  <si>
    <t>Résultat net</t>
  </si>
  <si>
    <t>IS</t>
  </si>
  <si>
    <t>Résultat Exceptionnel (BPI)</t>
  </si>
  <si>
    <t>Résultat Financier</t>
  </si>
  <si>
    <t>EBIT</t>
  </si>
  <si>
    <t>Amortissements</t>
  </si>
  <si>
    <t>Ebitda %</t>
  </si>
  <si>
    <t>EBITDA</t>
  </si>
  <si>
    <t>Other operational charges</t>
  </si>
  <si>
    <t>Office rent</t>
  </si>
  <si>
    <t>Management costs</t>
  </si>
  <si>
    <t>Marketing expenses</t>
  </si>
  <si>
    <t>Marketing in % of rev</t>
  </si>
  <si>
    <t>GM in % of rev</t>
  </si>
  <si>
    <t>Gross margin</t>
  </si>
  <si>
    <t>Total running cost of Fleet</t>
  </si>
  <si>
    <t>Total Cost for gasoline</t>
  </si>
  <si>
    <t>Nr of Average months Worked</t>
  </si>
  <si>
    <t>Monthly avg Gas cost</t>
  </si>
  <si>
    <t>Gasoline for all cars ( prop +leasing)</t>
  </si>
  <si>
    <t>Total Cost for Insurance</t>
  </si>
  <si>
    <t>Annual</t>
  </si>
  <si>
    <t>Insurance (property cars only)</t>
  </si>
  <si>
    <t>Total Renting Cost</t>
  </si>
  <si>
    <t>Fleet runing costs</t>
  </si>
  <si>
    <t>Yearly leasing cost</t>
  </si>
  <si>
    <t>years</t>
  </si>
  <si>
    <t>Price</t>
  </si>
  <si>
    <t>Renting Car</t>
  </si>
  <si>
    <t>Proprietary car</t>
  </si>
  <si>
    <t>Check number consitant wiht employees</t>
  </si>
  <si>
    <t>Fleet (total nr of cars)</t>
  </si>
  <si>
    <t>Total Salaries and Affialites</t>
  </si>
  <si>
    <t>Total Salaires</t>
  </si>
  <si>
    <t>#of employee MC</t>
  </si>
  <si>
    <t>Salaries cost MC</t>
  </si>
  <si>
    <t>#of employee FR</t>
  </si>
  <si>
    <t>Salaries cost France</t>
  </si>
  <si>
    <t>Cost of all Affiliates (With/Without car) (w/t VAT)</t>
  </si>
  <si>
    <t>VAT at credit</t>
  </si>
  <si>
    <t>Cost of all Affiliates (With/Without car)</t>
  </si>
  <si>
    <t>Affiliates marginal cost</t>
  </si>
  <si>
    <t>Costs</t>
  </si>
  <si>
    <t>Total Revenue (w/t VAT)</t>
  </si>
  <si>
    <t>VAT at debit</t>
  </si>
  <si>
    <t>Total Revenue</t>
  </si>
  <si>
    <t>Affiliés without car</t>
  </si>
  <si>
    <t>Revenues</t>
  </si>
  <si>
    <t>Affiliés with car</t>
  </si>
  <si>
    <t>Proprietary ( Inner team)</t>
  </si>
  <si>
    <t>Total revenu</t>
  </si>
  <si>
    <t>TTC</t>
  </si>
  <si>
    <t>Panier moyen/prestation (HT)x 3 hours</t>
  </si>
  <si>
    <t>Price per hour</t>
  </si>
  <si>
    <t>Recharge factor for affilaites</t>
  </si>
  <si>
    <t>Affiliés - Prestations annuelles Hours</t>
  </si>
  <si>
    <t>Affiliés - Prestations annuelles</t>
  </si>
  <si>
    <t>Prestations/jour</t>
  </si>
  <si>
    <t>H availability</t>
  </si>
  <si>
    <t>h per day</t>
  </si>
  <si>
    <t>#days available</t>
  </si>
  <si>
    <t>Affiliés security bodyguard</t>
  </si>
  <si>
    <t>Affiliés security k9 guard (maitre chien)</t>
  </si>
  <si>
    <t>Panier moyen/prestation (HT) x3 hours</t>
  </si>
  <si>
    <t>30.000 tous les jours</t>
  </si>
  <si>
    <t>Affiliés security guard premium</t>
  </si>
  <si>
    <t>Adjust how many affialite woihtout car you think will have</t>
  </si>
  <si>
    <t>150.000 tous les jours</t>
  </si>
  <si>
    <t>Affiliés security guard basic</t>
  </si>
  <si>
    <t>SECURITY GUARDS</t>
  </si>
  <si>
    <t>10 days of uber</t>
  </si>
  <si>
    <t>Panier moyen/prestation (HT)</t>
  </si>
  <si>
    <t>Chauffeur travaille a perte</t>
  </si>
  <si>
    <t>5 millions de clients uber</t>
  </si>
  <si>
    <t>1390 euro par mois chauffeur</t>
  </si>
  <si>
    <t>76 millions par jour</t>
  </si>
  <si>
    <t>4.2 Milliards par an</t>
  </si>
  <si>
    <t>75.000 etc</t>
  </si>
  <si>
    <t>30.000 vtc</t>
  </si>
  <si>
    <t>25.000</t>
  </si>
  <si>
    <t>Affiliés</t>
  </si>
  <si>
    <t>25/34 ans cible clients</t>
  </si>
  <si>
    <t>France</t>
  </si>
  <si>
    <t>Paris</t>
  </si>
  <si>
    <t>App Uber</t>
  </si>
  <si>
    <t>APP Kpten</t>
  </si>
  <si>
    <t>SECURITY DRIVERS</t>
  </si>
  <si>
    <t>2022 activity +18%</t>
  </si>
  <si>
    <t>Total revenue</t>
  </si>
  <si>
    <t>Trajet Moyen (HT)</t>
  </si>
  <si>
    <t>Nombre de trajets facturés (année 1)</t>
  </si>
  <si>
    <t>Free now</t>
  </si>
  <si>
    <t>Mois de travail</t>
  </si>
  <si>
    <t>Bolt</t>
  </si>
  <si>
    <t>Heetch</t>
  </si>
  <si>
    <t>h par trajet</t>
  </si>
  <si>
    <t>70.000 voitures</t>
  </si>
  <si>
    <t xml:space="preserve">4,5 milliards </t>
  </si>
  <si>
    <t>Lyft</t>
  </si>
  <si>
    <t xml:space="preserve">h disponible </t>
  </si>
  <si>
    <t>1700 voitures</t>
  </si>
  <si>
    <t>220 million d euros</t>
  </si>
  <si>
    <t>uber</t>
  </si>
  <si>
    <t>14h</t>
  </si>
  <si>
    <t>Team Chauffeurs / bodyguard LEON</t>
  </si>
  <si>
    <t>CTO, CFO, COO, CMO</t>
  </si>
  <si>
    <t>Employee LEON</t>
  </si>
  <si>
    <t>JO 2024 ( millions de touristes</t>
  </si>
  <si>
    <t>Wacc</t>
  </si>
  <si>
    <t>Terminal growth rate</t>
  </si>
  <si>
    <t>Total Enterprise value</t>
  </si>
  <si>
    <t>Sum of NPV of FCF</t>
  </si>
  <si>
    <t>Terminal value FCF</t>
  </si>
  <si>
    <t>Perpetual growth rate</t>
  </si>
  <si>
    <t>Terminal Value</t>
  </si>
  <si>
    <t>NPV of FCF</t>
  </si>
  <si>
    <t>Year</t>
  </si>
  <si>
    <t>Exit Multiple</t>
  </si>
  <si>
    <t>Free Cash Flow</t>
  </si>
  <si>
    <t xml:space="preserve">Less: Working capital </t>
  </si>
  <si>
    <t>Less: Capital Expenditures</t>
  </si>
  <si>
    <t>Operating Cash Flow</t>
  </si>
  <si>
    <t>Less: Cash Taxes</t>
  </si>
  <si>
    <t>Cash Flow</t>
  </si>
  <si>
    <t xml:space="preserve">Free Cashflow Statement </t>
  </si>
  <si>
    <t>IRR</t>
  </si>
  <si>
    <t>EV/ebitda exit multiple</t>
  </si>
  <si>
    <t>FCF</t>
  </si>
  <si>
    <t>DCF</t>
  </si>
  <si>
    <t>Working capital</t>
  </si>
  <si>
    <t>Total Creditors</t>
  </si>
  <si>
    <t>Total Debtors</t>
  </si>
  <si>
    <t>Net VAT</t>
  </si>
  <si>
    <t>Personnell</t>
  </si>
  <si>
    <t>Sg&amp;A</t>
  </si>
  <si>
    <t>Affilies</t>
  </si>
  <si>
    <t>days</t>
  </si>
  <si>
    <t>check</t>
  </si>
  <si>
    <t>Cash and Bank EOP</t>
  </si>
  <si>
    <t>Cash and Bank BOP</t>
  </si>
  <si>
    <t>CF</t>
  </si>
  <si>
    <t xml:space="preserve">Dividends distribution </t>
  </si>
  <si>
    <t>Equity Increase</t>
  </si>
  <si>
    <t>New Loans</t>
  </si>
  <si>
    <t>Reimboursement</t>
  </si>
  <si>
    <t xml:space="preserve">Debt &amp; Loans </t>
  </si>
  <si>
    <t>Financial interest</t>
  </si>
  <si>
    <t>Taxes</t>
  </si>
  <si>
    <t>Delta WC</t>
  </si>
  <si>
    <t>Ebitda</t>
  </si>
  <si>
    <r>
      <t xml:space="preserve">Cash flow </t>
    </r>
    <r>
      <rPr>
        <b/>
        <i/>
        <sz val="10"/>
        <color rgb="FF000000"/>
        <rFont val="Arial"/>
        <family val="2"/>
      </rPr>
      <t>(Eur/000)</t>
    </r>
  </si>
  <si>
    <t>Total liabilities and Equity</t>
  </si>
  <si>
    <t>Shareholder's equity</t>
  </si>
  <si>
    <t>Net profit</t>
  </si>
  <si>
    <t>Reserves</t>
  </si>
  <si>
    <t>Equity share capital</t>
  </si>
  <si>
    <t>Other non current liabilities</t>
  </si>
  <si>
    <t>Creditors</t>
  </si>
  <si>
    <t>Total assets</t>
  </si>
  <si>
    <t>Cash</t>
  </si>
  <si>
    <t>Debtors</t>
  </si>
  <si>
    <t>Total Fixed Assets</t>
  </si>
  <si>
    <r>
      <t xml:space="preserve">Balance Sheet </t>
    </r>
    <r>
      <rPr>
        <b/>
        <i/>
        <sz val="10"/>
        <color rgb="FF000000"/>
        <rFont val="Arial"/>
        <family val="2"/>
      </rPr>
      <t>(Eur/000)</t>
    </r>
  </si>
  <si>
    <t>% total revenues</t>
  </si>
  <si>
    <t>Net income</t>
  </si>
  <si>
    <t>% Tax rate on PBT</t>
  </si>
  <si>
    <t>Other tax on profit</t>
  </si>
  <si>
    <t>PBT</t>
  </si>
  <si>
    <t>Taxes on Profit</t>
  </si>
  <si>
    <t>Cumulative</t>
  </si>
  <si>
    <t>TLCF</t>
  </si>
  <si>
    <t>Profit/(Loss) before tax</t>
  </si>
  <si>
    <t>Interest payable</t>
  </si>
  <si>
    <t>D&amp;A</t>
  </si>
  <si>
    <t>Total costs</t>
  </si>
  <si>
    <t xml:space="preserve">Costs </t>
  </si>
  <si>
    <t xml:space="preserve"> % YoY</t>
  </si>
  <si>
    <t>Total revenues ( ex VAT)</t>
  </si>
  <si>
    <t>VAT</t>
  </si>
  <si>
    <t>Total revenues (VAT)</t>
  </si>
  <si>
    <t>Others</t>
  </si>
  <si>
    <t>Affiliés security guard (Basic/Prem/k9/Bodyguard)</t>
  </si>
  <si>
    <t>Volumes</t>
  </si>
  <si>
    <t>CAGR</t>
  </si>
  <si>
    <r>
      <t xml:space="preserve">P&amp;L </t>
    </r>
    <r>
      <rPr>
        <b/>
        <i/>
        <sz val="10"/>
        <color rgb="FF000000"/>
        <rFont val="Arial"/>
        <family val="2"/>
      </rPr>
      <t>(Eur/000)</t>
    </r>
  </si>
  <si>
    <t>Net Profit Margin</t>
  </si>
  <si>
    <t>Net Profit</t>
  </si>
  <si>
    <t>EBIT Margin</t>
  </si>
  <si>
    <t>\</t>
  </si>
  <si>
    <t>EBITDA Margin</t>
  </si>
  <si>
    <t>Total revenues</t>
  </si>
  <si>
    <t>REVENUES</t>
  </si>
  <si>
    <t xml:space="preserve">P&amp;L </t>
  </si>
  <si>
    <t>Trade payables</t>
  </si>
  <si>
    <t>Trade receivables</t>
  </si>
  <si>
    <t>Trade Payables</t>
  </si>
  <si>
    <t>Tangible assets</t>
  </si>
  <si>
    <t xml:space="preserve">Balance Sheet </t>
  </si>
  <si>
    <t xml:space="preserve">Cash flow </t>
  </si>
  <si>
    <t>TOTAL 2029</t>
  </si>
  <si>
    <t>TVA A 20% ?</t>
  </si>
  <si>
    <t>ASSUMPTION WITH RAISING FUNDS 2M EUROS</t>
  </si>
  <si>
    <t>GLOBAL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</si>
</sst>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5" formatCode="_-* #,##0.00\ _€_-;\-* #,##0.00\ _€_-;_-* &quot;-&quot;??\ _€_-;_-@"/>
    <numFmt numFmtId="166" formatCode="_-* #,##0.00\ [$€-1]_-;\-* #,##0.00\ [$€-1]_-;_-* &quot;-&quot;??\ [$€-1]"/>
    <numFmt numFmtId="167" formatCode="\+0.0%;\-0.0%"/>
    <numFmt numFmtId="168" formatCode="0.0%"/>
    <numFmt numFmtId="169" formatCode="#,##0.0"/>
    <numFmt numFmtId="170" formatCode="#,##0.000"/>
    <numFmt numFmtId="171" formatCode="0.0000"/>
    <numFmt numFmtId="172" formatCode="#,##0.0000"/>
    <numFmt numFmtId="173" formatCode="\+0.0%;[Red]\-0.0%"/>
    <numFmt numFmtId="174" formatCode="_-* #,##0\ _€_-;\-* #,##0\ _€_-;_-* &quot;-&quot;??\ _€_-;_-@"/>
    <numFmt numFmtId="175" formatCode="0%;\-"/>
    <numFmt numFmtId="176" formatCode="0%;[Red]\-0%"/>
    <numFmt numFmtId="177" formatCode="0.0%;[Red]\-0.0%"/>
    <numFmt numFmtId="178" formatCode="0.000%"/>
    <numFmt numFmtId="179" formatCode="#,##0_ ;[Red]\-#,##0\ "/>
    <numFmt numFmtId="180" formatCode="d/m/yy"/>
    <numFmt numFmtId="181" formatCode="_-* #,##0.00\ [$€-40C]_-;\-* #,##0.00\ [$€-40C]_-;_-* &quot;-&quot;??\ [$€-40C]_-;_-@_-"/>
    <numFmt numFmtId="182" formatCode="0.0"/>
    <numFmt numFmtId="183" formatCode="#,##0&quot; €&quot;"/>
    <numFmt numFmtId="184" formatCode="#,##0.00&quot; €&quot;"/>
    <numFmt numFmtId="185" formatCode="&quot;€&quot;#,##0.00"/>
    <numFmt numFmtId="186" formatCode="_-* #,##0.00\ _€_-;\-* #,##0.00\ _€_-;_-* &quot;-&quot;??\ _€_-;_-@_-"/>
    <numFmt numFmtId="187" formatCode="_(* #,##0_);_(* \(#,##0\);_(* &quot;-&quot;??_);_(@_)"/>
    <numFmt numFmtId="188" formatCode="_([$€-2]* #,##0.00_);_([$€-2]* \(#,##0.00\);_([$€-2]* &quot;-&quot;??_)"/>
    <numFmt numFmtId="189" formatCode="0;[Black]\(0\)"/>
    <numFmt numFmtId="190" formatCode="\+0%"/>
    <numFmt numFmtId="191" formatCode="0.0;[Black]\(0.0\)"/>
    <numFmt numFmtId="192" formatCode="#,##0_ ;\-#,##0\ "/>
    <numFmt numFmtId="193" formatCode="_-* #,##0_-;\-* #,##0_-;_-* &quot;-&quot;??_-;_-@_-"/>
    <numFmt numFmtId="194" formatCode="_-* #,##0\ _€_-;\-* #,##0\ _€_-;_-* &quot;-&quot;??\ _€_-;_-@_-"/>
    <numFmt numFmtId="195" formatCode="_-* #,##0.0_-;\-* #,##0.0_-;_-* &quot;-&quot;??_-;_-@_-"/>
  </numFmts>
  <fonts count="122" x14ac:knownFonts="1">
    <font>
      <sz val="10"/>
      <color rgb="FF000000"/>
      <name val="Verdana"/>
      <scheme val="minor"/>
    </font>
    <font>
      <sz val="11"/>
      <color theme="1"/>
      <name val="Verdana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4"/>
      <color rgb="FF3366FF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rgb="FFFFFFFF"/>
      <name val="Verdana"/>
      <family val="2"/>
    </font>
    <font>
      <i/>
      <sz val="12"/>
      <color rgb="FF3366FF"/>
      <name val="Verdana"/>
      <family val="2"/>
    </font>
    <font>
      <b/>
      <sz val="12"/>
      <color rgb="FF3366FF"/>
      <name val="Verdana"/>
      <family val="2"/>
    </font>
    <font>
      <i/>
      <sz val="10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  <font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  <font>
      <b/>
      <u/>
      <sz val="10"/>
      <color rgb="FF0000FF"/>
      <name val="Verdana"/>
      <family val="2"/>
    </font>
    <font>
      <b/>
      <u/>
      <sz val="10"/>
      <color rgb="FF0432FF"/>
      <name val="Verdana"/>
      <family val="2"/>
    </font>
    <font>
      <b/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0"/>
      <color rgb="FFFF0000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u/>
      <sz val="10"/>
      <color rgb="FF0000FF"/>
      <name val="Verdana"/>
      <family val="2"/>
    </font>
    <font>
      <b/>
      <i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rgb="FF953734"/>
      <name val="Verdana"/>
      <family val="2"/>
    </font>
    <font>
      <sz val="10"/>
      <color rgb="FF953734"/>
      <name val="Verdana"/>
      <family val="2"/>
    </font>
    <font>
      <sz val="10"/>
      <color rgb="FFFABF8F"/>
      <name val="Verdana"/>
      <family val="2"/>
    </font>
    <font>
      <b/>
      <sz val="10"/>
      <color rgb="FF0432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b/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rgb="FF0000FF"/>
      <name val="Verdana"/>
      <family val="2"/>
    </font>
    <font>
      <sz val="10"/>
      <color rgb="FF0432FF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10"/>
      <color rgb="FF0000FF"/>
      <name val="Verdana"/>
      <family val="2"/>
    </font>
    <font>
      <b/>
      <u/>
      <sz val="10"/>
      <color theme="1"/>
      <name val="Verdana"/>
      <family val="2"/>
    </font>
    <font>
      <b/>
      <u/>
      <vertAlign val="superscript"/>
      <sz val="10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2"/>
      <color rgb="FF3366FF"/>
      <name val="Verdana"/>
      <family val="2"/>
    </font>
    <font>
      <sz val="11"/>
      <color indexed="8"/>
      <name val="Century Gothic"/>
      <family val="1"/>
    </font>
    <font>
      <sz val="14"/>
      <color indexed="8"/>
      <name val="Arial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432FF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8"/>
      <name val="Verdana"/>
      <family val="2"/>
      <scheme val="minor"/>
    </font>
    <font>
      <b/>
      <sz val="14"/>
      <color rgb="FFFF0000"/>
      <name val="Arial"/>
      <family val="2"/>
    </font>
    <font>
      <sz val="10"/>
      <color rgb="FF000000"/>
      <name val="Verdana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4F6128"/>
        <bgColor rgb="FF4F6128"/>
      </patternFill>
    </fill>
    <fill>
      <patternFill patternType="solid">
        <fgColor rgb="FFE5B8B7"/>
        <bgColor rgb="FFE5B8B7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90" fillId="0" borderId="7" applyNumberFormat="0" applyFill="0" applyBorder="0" applyProtection="0"/>
    <xf numFmtId="37" fontId="92" fillId="0" borderId="7"/>
    <xf numFmtId="9" fontId="101" fillId="0" borderId="7" applyFont="0" applyFill="0" applyBorder="0" applyAlignment="0" applyProtection="0"/>
    <xf numFmtId="0" fontId="101" fillId="0" borderId="7"/>
    <xf numFmtId="186" fontId="101" fillId="0" borderId="7" applyFont="0" applyFill="0" applyBorder="0" applyAlignment="0" applyProtection="0"/>
    <xf numFmtId="188" fontId="1" fillId="0" borderId="7"/>
    <xf numFmtId="9" fontId="101" fillId="0" borderId="7" applyFont="0" applyFill="0" applyBorder="0" applyAlignment="0" applyProtection="0"/>
    <xf numFmtId="43" fontId="1" fillId="0" borderId="7" applyFont="0" applyFill="0" applyBorder="0" applyAlignment="0" applyProtection="0"/>
  </cellStyleXfs>
  <cellXfs count="503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8" xfId="0" applyFont="1" applyBorder="1"/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5" xfId="0" applyFont="1" applyBorder="1"/>
    <xf numFmtId="0" fontId="9" fillId="0" borderId="14" xfId="0" applyFont="1" applyBorder="1"/>
    <xf numFmtId="0" fontId="11" fillId="2" borderId="16" xfId="0" applyFont="1" applyFill="1" applyBorder="1"/>
    <xf numFmtId="0" fontId="11" fillId="2" borderId="17" xfId="0" applyFont="1" applyFill="1" applyBorder="1"/>
    <xf numFmtId="0" fontId="12" fillId="2" borderId="18" xfId="0" applyFont="1" applyFill="1" applyBorder="1"/>
    <xf numFmtId="0" fontId="10" fillId="0" borderId="19" xfId="0" applyFont="1" applyBorder="1"/>
    <xf numFmtId="166" fontId="9" fillId="0" borderId="4" xfId="0" applyNumberFormat="1" applyFont="1" applyBorder="1"/>
    <xf numFmtId="0" fontId="10" fillId="0" borderId="20" xfId="0" applyFont="1" applyBorder="1"/>
    <xf numFmtId="0" fontId="12" fillId="2" borderId="16" xfId="0" applyFont="1" applyFill="1" applyBorder="1"/>
    <xf numFmtId="0" fontId="13" fillId="2" borderId="17" xfId="0" applyFont="1" applyFill="1" applyBorder="1"/>
    <xf numFmtId="0" fontId="9" fillId="0" borderId="8" xfId="0" applyFont="1" applyBorder="1" applyAlignment="1">
      <alignment horizontal="right"/>
    </xf>
    <xf numFmtId="166" fontId="9" fillId="0" borderId="9" xfId="0" applyNumberFormat="1" applyFont="1" applyBorder="1"/>
    <xf numFmtId="0" fontId="11" fillId="2" borderId="22" xfId="0" applyFont="1" applyFill="1" applyBorder="1"/>
    <xf numFmtId="0" fontId="11" fillId="2" borderId="23" xfId="0" applyFont="1" applyFill="1" applyBorder="1"/>
    <xf numFmtId="166" fontId="9" fillId="0" borderId="17" xfId="0" applyNumberFormat="1" applyFont="1" applyBorder="1"/>
    <xf numFmtId="0" fontId="9" fillId="0" borderId="20" xfId="0" applyFont="1" applyBorder="1"/>
    <xf numFmtId="0" fontId="14" fillId="0" borderId="20" xfId="0" applyFont="1" applyBorder="1" applyAlignment="1">
      <alignment horizontal="right"/>
    </xf>
    <xf numFmtId="0" fontId="12" fillId="2" borderId="22" xfId="0" applyFont="1" applyFill="1" applyBorder="1"/>
    <xf numFmtId="166" fontId="9" fillId="0" borderId="21" xfId="0" applyNumberFormat="1" applyFont="1" applyBorder="1"/>
    <xf numFmtId="0" fontId="10" fillId="0" borderId="24" xfId="0" applyFont="1" applyBorder="1"/>
    <xf numFmtId="166" fontId="9" fillId="0" borderId="25" xfId="0" applyNumberFormat="1" applyFont="1" applyBorder="1"/>
    <xf numFmtId="0" fontId="10" fillId="0" borderId="0" xfId="0" applyFont="1"/>
    <xf numFmtId="166" fontId="9" fillId="0" borderId="0" xfId="0" applyNumberFormat="1" applyFont="1"/>
    <xf numFmtId="0" fontId="9" fillId="0" borderId="26" xfId="0" applyFont="1" applyBorder="1"/>
    <xf numFmtId="166" fontId="9" fillId="0" borderId="27" xfId="0" applyNumberFormat="1" applyFont="1" applyBorder="1"/>
    <xf numFmtId="38" fontId="3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center"/>
    </xf>
    <xf numFmtId="38" fontId="3" fillId="0" borderId="0" xfId="0" applyNumberFormat="1" applyFont="1" applyAlignment="1">
      <alignment horizontal="center"/>
    </xf>
    <xf numFmtId="1" fontId="15" fillId="5" borderId="7" xfId="0" applyNumberFormat="1" applyFont="1" applyFill="1" applyBorder="1" applyAlignment="1">
      <alignment horizontal="left"/>
    </xf>
    <xf numFmtId="1" fontId="6" fillId="5" borderId="7" xfId="0" applyNumberFormat="1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left"/>
    </xf>
    <xf numFmtId="1" fontId="16" fillId="5" borderId="7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8" fontId="1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center"/>
    </xf>
    <xf numFmtId="3" fontId="20" fillId="6" borderId="7" xfId="0" applyNumberFormat="1" applyFont="1" applyFill="1" applyBorder="1" applyAlignment="1">
      <alignment horizontal="left"/>
    </xf>
    <xf numFmtId="3" fontId="21" fillId="6" borderId="7" xfId="0" applyNumberFormat="1" applyFont="1" applyFill="1" applyBorder="1" applyAlignment="1">
      <alignment horizontal="center"/>
    </xf>
    <xf numFmtId="3" fontId="22" fillId="6" borderId="7" xfId="0" applyNumberFormat="1" applyFont="1" applyFill="1" applyBorder="1" applyAlignment="1">
      <alignment horizontal="center"/>
    </xf>
    <xf numFmtId="1" fontId="23" fillId="5" borderId="7" xfId="0" applyNumberFormat="1" applyFont="1" applyFill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168" fontId="2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38" fontId="15" fillId="7" borderId="7" xfId="0" applyNumberFormat="1" applyFont="1" applyFill="1" applyBorder="1" applyAlignment="1">
      <alignment horizontal="left"/>
    </xf>
    <xf numFmtId="38" fontId="3" fillId="7" borderId="7" xfId="0" applyNumberFormat="1" applyFont="1" applyFill="1" applyBorder="1" applyAlignment="1">
      <alignment horizontal="left"/>
    </xf>
    <xf numFmtId="38" fontId="3" fillId="7" borderId="7" xfId="0" applyNumberFormat="1" applyFont="1" applyFill="1" applyBorder="1" applyAlignment="1">
      <alignment horizontal="center"/>
    </xf>
    <xf numFmtId="38" fontId="6" fillId="7" borderId="7" xfId="0" applyNumberFormat="1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2" xfId="0" applyNumberFormat="1" applyFont="1" applyBorder="1" applyAlignment="1">
      <alignment horizontal="left"/>
    </xf>
    <xf numFmtId="167" fontId="17" fillId="0" borderId="2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wrapText="1"/>
    </xf>
    <xf numFmtId="169" fontId="3" fillId="0" borderId="0" xfId="0" applyNumberFormat="1" applyFont="1" applyAlignment="1">
      <alignment horizontal="center"/>
    </xf>
    <xf numFmtId="1" fontId="28" fillId="5" borderId="7" xfId="0" applyNumberFormat="1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3" fontId="29" fillId="0" borderId="0" xfId="0" applyNumberFormat="1" applyFont="1"/>
    <xf numFmtId="9" fontId="30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17" fillId="4" borderId="7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center"/>
    </xf>
    <xf numFmtId="4" fontId="35" fillId="0" borderId="0" xfId="0" applyNumberFormat="1" applyFont="1" applyAlignment="1">
      <alignment horizontal="center"/>
    </xf>
    <xf numFmtId="3" fontId="6" fillId="6" borderId="7" xfId="0" applyNumberFormat="1" applyFont="1" applyFill="1" applyBorder="1" applyAlignment="1">
      <alignment horizontal="left"/>
    </xf>
    <xf numFmtId="169" fontId="36" fillId="6" borderId="7" xfId="0" applyNumberFormat="1" applyFont="1" applyFill="1" applyBorder="1" applyAlignment="1">
      <alignment horizontal="center"/>
    </xf>
    <xf numFmtId="38" fontId="3" fillId="8" borderId="7" xfId="0" applyNumberFormat="1" applyFont="1" applyFill="1" applyBorder="1" applyAlignment="1">
      <alignment horizontal="left"/>
    </xf>
    <xf numFmtId="38" fontId="3" fillId="8" borderId="7" xfId="0" applyNumberFormat="1" applyFont="1" applyFill="1" applyBorder="1" applyAlignment="1">
      <alignment horizontal="center"/>
    </xf>
    <xf numFmtId="38" fontId="6" fillId="8" borderId="7" xfId="0" applyNumberFormat="1" applyFont="1" applyFill="1" applyBorder="1" applyAlignment="1">
      <alignment horizontal="center"/>
    </xf>
    <xf numFmtId="3" fontId="17" fillId="0" borderId="0" xfId="0" quotePrefix="1" applyNumberFormat="1" applyFont="1" applyAlignment="1">
      <alignment horizontal="center"/>
    </xf>
    <xf numFmtId="169" fontId="37" fillId="0" borderId="0" xfId="0" applyNumberFormat="1" applyFont="1" applyAlignment="1">
      <alignment horizontal="center"/>
    </xf>
    <xf numFmtId="3" fontId="6" fillId="0" borderId="0" xfId="0" applyNumberFormat="1" applyFont="1"/>
    <xf numFmtId="169" fontId="6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3" fontId="38" fillId="9" borderId="7" xfId="0" applyNumberFormat="1" applyFont="1" applyFill="1" applyBorder="1" applyAlignment="1">
      <alignment horizontal="left"/>
    </xf>
    <xf numFmtId="3" fontId="39" fillId="9" borderId="7" xfId="0" applyNumberFormat="1" applyFont="1" applyFill="1" applyBorder="1" applyAlignment="1">
      <alignment horizontal="left"/>
    </xf>
    <xf numFmtId="3" fontId="40" fillId="9" borderId="7" xfId="0" applyNumberFormat="1" applyFont="1" applyFill="1" applyBorder="1" applyAlignment="1">
      <alignment horizontal="center"/>
    </xf>
    <xf numFmtId="3" fontId="41" fillId="9" borderId="7" xfId="0" applyNumberFormat="1" applyFont="1" applyFill="1" applyBorder="1" applyAlignment="1">
      <alignment horizontal="center"/>
    </xf>
    <xf numFmtId="3" fontId="4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left"/>
    </xf>
    <xf numFmtId="38" fontId="15" fillId="0" borderId="0" xfId="0" applyNumberFormat="1" applyFont="1" applyAlignment="1">
      <alignment horizontal="right"/>
    </xf>
    <xf numFmtId="168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3" fontId="14" fillId="0" borderId="30" xfId="0" applyNumberFormat="1" applyFont="1" applyBorder="1" applyAlignment="1">
      <alignment horizontal="left"/>
    </xf>
    <xf numFmtId="3" fontId="14" fillId="0" borderId="31" xfId="0" applyNumberFormat="1" applyFont="1" applyBorder="1" applyAlignment="1">
      <alignment horizontal="left"/>
    </xf>
    <xf numFmtId="3" fontId="14" fillId="0" borderId="31" xfId="0" applyNumberFormat="1" applyFont="1" applyBorder="1" applyAlignment="1">
      <alignment horizontal="center"/>
    </xf>
    <xf numFmtId="3" fontId="43" fillId="0" borderId="31" xfId="0" applyNumberFormat="1" applyFont="1" applyBorder="1" applyAlignment="1">
      <alignment horizontal="center"/>
    </xf>
    <xf numFmtId="3" fontId="14" fillId="0" borderId="32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33" xfId="0" applyNumberFormat="1" applyFont="1" applyBorder="1" applyAlignment="1">
      <alignment horizontal="left"/>
    </xf>
    <xf numFmtId="3" fontId="14" fillId="0" borderId="34" xfId="0" applyNumberFormat="1" applyFont="1" applyBorder="1" applyAlignment="1">
      <alignment horizontal="left"/>
    </xf>
    <xf numFmtId="3" fontId="14" fillId="0" borderId="34" xfId="0" applyNumberFormat="1" applyFont="1" applyBorder="1" applyAlignment="1">
      <alignment horizontal="center"/>
    </xf>
    <xf numFmtId="3" fontId="43" fillId="0" borderId="34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171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9" fontId="17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center"/>
    </xf>
    <xf numFmtId="3" fontId="46" fillId="6" borderId="7" xfId="0" applyNumberFormat="1" applyFont="1" applyFill="1" applyBorder="1" applyAlignment="1">
      <alignment horizontal="right"/>
    </xf>
    <xf numFmtId="168" fontId="47" fillId="6" borderId="7" xfId="0" applyNumberFormat="1" applyFont="1" applyFill="1" applyBorder="1" applyAlignment="1">
      <alignment horizontal="center"/>
    </xf>
    <xf numFmtId="3" fontId="48" fillId="0" borderId="0" xfId="0" applyNumberFormat="1" applyFont="1" applyAlignment="1">
      <alignment horizontal="right"/>
    </xf>
    <xf numFmtId="165" fontId="49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3" fontId="50" fillId="0" borderId="0" xfId="0" applyNumberFormat="1" applyFont="1" applyAlignment="1">
      <alignment horizontal="center"/>
    </xf>
    <xf numFmtId="3" fontId="3" fillId="4" borderId="7" xfId="0" applyNumberFormat="1" applyFont="1" applyFill="1" applyBorder="1" applyAlignment="1">
      <alignment horizontal="left"/>
    </xf>
    <xf numFmtId="3" fontId="6" fillId="4" borderId="7" xfId="0" applyNumberFormat="1" applyFont="1" applyFill="1" applyBorder="1" applyAlignment="1">
      <alignment horizontal="left"/>
    </xf>
    <xf numFmtId="169" fontId="17" fillId="4" borderId="7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center"/>
    </xf>
    <xf numFmtId="169" fontId="3" fillId="4" borderId="7" xfId="0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3" fontId="51" fillId="0" borderId="0" xfId="0" applyNumberFormat="1" applyFont="1" applyAlignment="1">
      <alignment horizontal="center"/>
    </xf>
    <xf numFmtId="172" fontId="17" fillId="0" borderId="0" xfId="0" applyNumberFormat="1" applyFont="1" applyAlignment="1">
      <alignment horizontal="center"/>
    </xf>
    <xf numFmtId="173" fontId="3" fillId="0" borderId="0" xfId="0" applyNumberFormat="1" applyFont="1" applyAlignment="1">
      <alignment horizontal="left"/>
    </xf>
    <xf numFmtId="173" fontId="3" fillId="0" borderId="0" xfId="0" applyNumberFormat="1" applyFont="1" applyAlignment="1">
      <alignment horizontal="center"/>
    </xf>
    <xf numFmtId="38" fontId="17" fillId="0" borderId="0" xfId="0" applyNumberFormat="1" applyFont="1" applyAlignment="1">
      <alignment horizontal="center"/>
    </xf>
    <xf numFmtId="38" fontId="52" fillId="6" borderId="7" xfId="0" applyNumberFormat="1" applyFont="1" applyFill="1" applyBorder="1" applyAlignment="1">
      <alignment horizontal="left"/>
    </xf>
    <xf numFmtId="38" fontId="53" fillId="6" borderId="7" xfId="0" applyNumberFormat="1" applyFont="1" applyFill="1" applyBorder="1" applyAlignment="1">
      <alignment horizontal="center"/>
    </xf>
    <xf numFmtId="38" fontId="54" fillId="0" borderId="0" xfId="0" applyNumberFormat="1" applyFont="1" applyAlignment="1">
      <alignment horizontal="center"/>
    </xf>
    <xf numFmtId="173" fontId="6" fillId="0" borderId="0" xfId="0" applyNumberFormat="1" applyFont="1" applyAlignment="1">
      <alignment horizontal="center"/>
    </xf>
    <xf numFmtId="169" fontId="3" fillId="0" borderId="8" xfId="0" applyNumberFormat="1" applyFont="1" applyBorder="1" applyAlignment="1">
      <alignment horizontal="left"/>
    </xf>
    <xf numFmtId="169" fontId="3" fillId="0" borderId="10" xfId="0" applyNumberFormat="1" applyFont="1" applyBorder="1" applyAlignment="1">
      <alignment horizontal="left"/>
    </xf>
    <xf numFmtId="38" fontId="3" fillId="0" borderId="10" xfId="0" applyNumberFormat="1" applyFont="1" applyBorder="1" applyAlignment="1">
      <alignment horizontal="left"/>
    </xf>
    <xf numFmtId="169" fontId="17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left"/>
    </xf>
    <xf numFmtId="38" fontId="45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38" fontId="55" fillId="0" borderId="0" xfId="0" applyNumberFormat="1" applyFont="1" applyAlignment="1">
      <alignment horizontal="left"/>
    </xf>
    <xf numFmtId="174" fontId="48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right"/>
    </xf>
    <xf numFmtId="38" fontId="56" fillId="0" borderId="0" xfId="0" applyNumberFormat="1" applyFont="1" applyAlignment="1">
      <alignment horizontal="center"/>
    </xf>
    <xf numFmtId="38" fontId="57" fillId="6" borderId="35" xfId="0" applyNumberFormat="1" applyFont="1" applyFill="1" applyBorder="1" applyAlignment="1">
      <alignment horizontal="left"/>
    </xf>
    <xf numFmtId="38" fontId="58" fillId="6" borderId="36" xfId="0" applyNumberFormat="1" applyFont="1" applyFill="1" applyBorder="1" applyAlignment="1">
      <alignment horizontal="left"/>
    </xf>
    <xf numFmtId="38" fontId="59" fillId="6" borderId="36" xfId="0" applyNumberFormat="1" applyFont="1" applyFill="1" applyBorder="1" applyAlignment="1">
      <alignment horizontal="center"/>
    </xf>
    <xf numFmtId="38" fontId="60" fillId="6" borderId="37" xfId="0" applyNumberFormat="1" applyFont="1" applyFill="1" applyBorder="1" applyAlignment="1">
      <alignment horizontal="center"/>
    </xf>
    <xf numFmtId="175" fontId="3" fillId="0" borderId="0" xfId="0" applyNumberFormat="1" applyFont="1" applyAlignment="1">
      <alignment horizontal="left"/>
    </xf>
    <xf numFmtId="175" fontId="3" fillId="0" borderId="0" xfId="0" applyNumberFormat="1" applyFont="1" applyAlignment="1">
      <alignment horizontal="center"/>
    </xf>
    <xf numFmtId="176" fontId="6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9" fontId="3" fillId="0" borderId="0" xfId="0" applyNumberFormat="1" applyFont="1" applyAlignment="1">
      <alignment horizontal="left"/>
    </xf>
    <xf numFmtId="168" fontId="45" fillId="0" borderId="0" xfId="0" applyNumberFormat="1" applyFont="1" applyAlignment="1">
      <alignment horizontal="center"/>
    </xf>
    <xf numFmtId="38" fontId="62" fillId="0" borderId="0" xfId="0" applyNumberFormat="1" applyFont="1" applyAlignment="1">
      <alignment horizontal="left"/>
    </xf>
    <xf numFmtId="38" fontId="63" fillId="0" borderId="0" xfId="0" applyNumberFormat="1" applyFont="1" applyAlignment="1">
      <alignment horizontal="center"/>
    </xf>
    <xf numFmtId="38" fontId="64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78" fontId="6" fillId="0" borderId="0" xfId="0" applyNumberFormat="1" applyFont="1" applyAlignment="1">
      <alignment horizontal="center"/>
    </xf>
    <xf numFmtId="38" fontId="17" fillId="0" borderId="0" xfId="0" applyNumberFormat="1" applyFont="1" applyAlignment="1">
      <alignment horizontal="left"/>
    </xf>
    <xf numFmtId="177" fontId="6" fillId="0" borderId="0" xfId="0" applyNumberFormat="1" applyFont="1" applyAlignment="1">
      <alignment horizontal="center"/>
    </xf>
    <xf numFmtId="1" fontId="6" fillId="5" borderId="7" xfId="0" applyNumberFormat="1" applyFont="1" applyFill="1" applyBorder="1" applyAlignment="1">
      <alignment horizontal="right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/>
    </xf>
    <xf numFmtId="2" fontId="65" fillId="6" borderId="7" xfId="0" applyNumberFormat="1" applyFont="1" applyFill="1" applyBorder="1" applyAlignment="1">
      <alignment horizontal="left"/>
    </xf>
    <xf numFmtId="2" fontId="66" fillId="6" borderId="7" xfId="0" applyNumberFormat="1" applyFont="1" applyFill="1" applyBorder="1" applyAlignment="1">
      <alignment horizontal="center"/>
    </xf>
    <xf numFmtId="2" fontId="67" fillId="0" borderId="0" xfId="0" applyNumberFormat="1" applyFont="1" applyAlignment="1">
      <alignment horizontal="center"/>
    </xf>
    <xf numFmtId="2" fontId="68" fillId="0" borderId="0" xfId="0" applyNumberFormat="1" applyFont="1" applyAlignment="1">
      <alignment horizontal="left"/>
    </xf>
    <xf numFmtId="9" fontId="45" fillId="0" borderId="0" xfId="0" applyNumberFormat="1" applyFont="1" applyAlignment="1">
      <alignment horizontal="center"/>
    </xf>
    <xf numFmtId="168" fontId="69" fillId="0" borderId="0" xfId="0" applyNumberFormat="1" applyFont="1" applyAlignment="1">
      <alignment horizontal="center"/>
    </xf>
    <xf numFmtId="38" fontId="70" fillId="0" borderId="0" xfId="0" applyNumberFormat="1" applyFont="1" applyAlignment="1">
      <alignment horizontal="center"/>
    </xf>
    <xf numFmtId="179" fontId="3" fillId="0" borderId="0" xfId="0" applyNumberFormat="1" applyFont="1" applyAlignment="1">
      <alignment horizontal="left"/>
    </xf>
    <xf numFmtId="179" fontId="6" fillId="0" borderId="0" xfId="0" applyNumberFormat="1" applyFont="1"/>
    <xf numFmtId="38" fontId="51" fillId="0" borderId="0" xfId="0" applyNumberFormat="1" applyFont="1" applyAlignment="1">
      <alignment horizontal="center"/>
    </xf>
    <xf numFmtId="179" fontId="6" fillId="4" borderId="7" xfId="0" applyNumberFormat="1" applyFont="1" applyFill="1" applyBorder="1"/>
    <xf numFmtId="38" fontId="6" fillId="4" borderId="7" xfId="0" applyNumberFormat="1" applyFont="1" applyFill="1" applyBorder="1" applyAlignment="1">
      <alignment horizontal="left"/>
    </xf>
    <xf numFmtId="38" fontId="6" fillId="4" borderId="7" xfId="0" applyNumberFormat="1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169" fontId="7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169" fontId="72" fillId="0" borderId="0" xfId="0" applyNumberFormat="1" applyFont="1" applyAlignment="1">
      <alignment horizontal="left"/>
    </xf>
    <xf numFmtId="38" fontId="31" fillId="0" borderId="0" xfId="0" applyNumberFormat="1" applyFont="1" applyAlignment="1">
      <alignment horizontal="left"/>
    </xf>
    <xf numFmtId="38" fontId="31" fillId="0" borderId="0" xfId="0" applyNumberFormat="1" applyFont="1" applyAlignment="1">
      <alignment horizontal="center"/>
    </xf>
    <xf numFmtId="38" fontId="15" fillId="0" borderId="0" xfId="0" applyNumberFormat="1" applyFont="1" applyAlignment="1">
      <alignment horizontal="center"/>
    </xf>
    <xf numFmtId="1" fontId="6" fillId="4" borderId="7" xfId="0" applyNumberFormat="1" applyFont="1" applyFill="1" applyBorder="1" applyAlignment="1">
      <alignment horizontal="left"/>
    </xf>
    <xf numFmtId="1" fontId="6" fillId="4" borderId="7" xfId="0" applyNumberFormat="1" applyFont="1" applyFill="1" applyBorder="1" applyAlignment="1">
      <alignment horizontal="center"/>
    </xf>
    <xf numFmtId="1" fontId="73" fillId="4" borderId="7" xfId="0" applyNumberFormat="1" applyFont="1" applyFill="1" applyBorder="1" applyAlignment="1">
      <alignment horizontal="center"/>
    </xf>
    <xf numFmtId="38" fontId="3" fillId="4" borderId="7" xfId="0" applyNumberFormat="1" applyFont="1" applyFill="1" applyBorder="1" applyAlignment="1">
      <alignment horizontal="center"/>
    </xf>
    <xf numFmtId="180" fontId="3" fillId="4" borderId="7" xfId="0" applyNumberFormat="1" applyFont="1" applyFill="1" applyBorder="1" applyAlignment="1">
      <alignment horizontal="left"/>
    </xf>
    <xf numFmtId="180" fontId="3" fillId="4" borderId="7" xfId="0" applyNumberFormat="1" applyFont="1" applyFill="1" applyBorder="1" applyAlignment="1">
      <alignment horizontal="center"/>
    </xf>
    <xf numFmtId="180" fontId="6" fillId="4" borderId="7" xfId="0" applyNumberFormat="1" applyFont="1" applyFill="1" applyBorder="1" applyAlignment="1">
      <alignment horizontal="center"/>
    </xf>
    <xf numFmtId="180" fontId="17" fillId="4" borderId="7" xfId="0" applyNumberFormat="1" applyFont="1" applyFill="1" applyBorder="1" applyAlignment="1">
      <alignment horizontal="center"/>
    </xf>
    <xf numFmtId="38" fontId="74" fillId="4" borderId="38" xfId="0" applyNumberFormat="1" applyFont="1" applyFill="1" applyBorder="1" applyAlignment="1">
      <alignment horizontal="left"/>
    </xf>
    <xf numFmtId="10" fontId="75" fillId="4" borderId="39" xfId="0" applyNumberFormat="1" applyFont="1" applyFill="1" applyBorder="1" applyAlignment="1">
      <alignment horizontal="center"/>
    </xf>
    <xf numFmtId="38" fontId="76" fillId="4" borderId="7" xfId="0" applyNumberFormat="1" applyFont="1" applyFill="1" applyBorder="1" applyAlignment="1">
      <alignment horizontal="left"/>
    </xf>
    <xf numFmtId="3" fontId="77" fillId="4" borderId="7" xfId="0" applyNumberFormat="1" applyFont="1" applyFill="1" applyBorder="1" applyAlignment="1">
      <alignment horizontal="left"/>
    </xf>
    <xf numFmtId="38" fontId="78" fillId="4" borderId="7" xfId="0" applyNumberFormat="1" applyFont="1" applyFill="1" applyBorder="1" applyAlignment="1">
      <alignment horizontal="center"/>
    </xf>
    <xf numFmtId="3" fontId="79" fillId="4" borderId="7" xfId="0" applyNumberFormat="1" applyFont="1" applyFill="1" applyBorder="1" applyAlignment="1">
      <alignment horizontal="center"/>
    </xf>
    <xf numFmtId="168" fontId="6" fillId="4" borderId="7" xfId="0" applyNumberFormat="1" applyFont="1" applyFill="1" applyBorder="1" applyAlignment="1">
      <alignment horizontal="left"/>
    </xf>
    <xf numFmtId="168" fontId="3" fillId="4" borderId="7" xfId="0" applyNumberFormat="1" applyFont="1" applyFill="1" applyBorder="1" applyAlignment="1">
      <alignment horizontal="left"/>
    </xf>
    <xf numFmtId="168" fontId="6" fillId="4" borderId="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8" fontId="3" fillId="4" borderId="7" xfId="0" applyNumberFormat="1" applyFont="1" applyFill="1" applyBorder="1" applyAlignment="1">
      <alignment horizontal="center"/>
    </xf>
    <xf numFmtId="3" fontId="80" fillId="4" borderId="39" xfId="0" applyNumberFormat="1" applyFont="1" applyFill="1" applyBorder="1" applyAlignment="1">
      <alignment horizontal="center"/>
    </xf>
    <xf numFmtId="10" fontId="81" fillId="4" borderId="7" xfId="0" applyNumberFormat="1" applyFont="1" applyFill="1" applyBorder="1" applyAlignment="1">
      <alignment horizontal="center"/>
    </xf>
    <xf numFmtId="168" fontId="82" fillId="4" borderId="7" xfId="0" applyNumberFormat="1" applyFont="1" applyFill="1" applyBorder="1" applyAlignment="1">
      <alignment horizontal="center"/>
    </xf>
    <xf numFmtId="166" fontId="9" fillId="0" borderId="40" xfId="0" applyNumberFormat="1" applyFont="1" applyBorder="1"/>
    <xf numFmtId="0" fontId="10" fillId="0" borderId="38" xfId="0" applyFont="1" applyBorder="1"/>
    <xf numFmtId="181" fontId="9" fillId="0" borderId="4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8" fillId="0" borderId="40" xfId="0" applyFont="1" applyBorder="1" applyAlignment="1">
      <alignment horizontal="center"/>
    </xf>
    <xf numFmtId="0" fontId="87" fillId="0" borderId="40" xfId="0" applyFont="1" applyBorder="1" applyAlignment="1">
      <alignment horizontal="center"/>
    </xf>
    <xf numFmtId="1" fontId="87" fillId="0" borderId="41" xfId="0" applyNumberFormat="1" applyFont="1" applyBorder="1" applyAlignment="1">
      <alignment horizontal="center"/>
    </xf>
    <xf numFmtId="1" fontId="87" fillId="0" borderId="40" xfId="0" applyNumberFormat="1" applyFont="1" applyBorder="1" applyAlignment="1">
      <alignment horizontal="center"/>
    </xf>
    <xf numFmtId="166" fontId="87" fillId="0" borderId="4" xfId="0" applyNumberFormat="1" applyFont="1" applyBorder="1"/>
    <xf numFmtId="0" fontId="89" fillId="2" borderId="17" xfId="0" applyFont="1" applyFill="1" applyBorder="1"/>
    <xf numFmtId="0" fontId="91" fillId="10" borderId="7" xfId="1" applyFont="1" applyFill="1" applyBorder="1" applyAlignment="1">
      <alignment vertical="center"/>
    </xf>
    <xf numFmtId="37" fontId="93" fillId="11" borderId="7" xfId="2" applyFont="1" applyFill="1"/>
    <xf numFmtId="0" fontId="91" fillId="0" borderId="7" xfId="1" applyNumberFormat="1" applyFont="1"/>
    <xf numFmtId="0" fontId="91" fillId="12" borderId="7" xfId="1" applyNumberFormat="1" applyFont="1" applyFill="1"/>
    <xf numFmtId="0" fontId="91" fillId="0" borderId="7" xfId="1" applyNumberFormat="1" applyFont="1" applyBorder="1"/>
    <xf numFmtId="0" fontId="91" fillId="10" borderId="7" xfId="1" applyFont="1" applyFill="1" applyBorder="1"/>
    <xf numFmtId="3" fontId="91" fillId="10" borderId="7" xfId="1" applyNumberFormat="1" applyFont="1" applyFill="1" applyBorder="1" applyAlignment="1">
      <alignment vertical="center"/>
    </xf>
    <xf numFmtId="0" fontId="91" fillId="12" borderId="7" xfId="1" applyFont="1" applyFill="1" applyBorder="1" applyAlignment="1">
      <alignment vertical="center"/>
    </xf>
    <xf numFmtId="0" fontId="91" fillId="10" borderId="42" xfId="1" applyFont="1" applyFill="1" applyBorder="1"/>
    <xf numFmtId="0" fontId="91" fillId="10" borderId="43" xfId="1" applyFont="1" applyFill="1" applyBorder="1"/>
    <xf numFmtId="0" fontId="91" fillId="10" borderId="42" xfId="1" applyFont="1" applyFill="1" applyBorder="1" applyAlignment="1">
      <alignment vertical="center"/>
    </xf>
    <xf numFmtId="0" fontId="91" fillId="12" borderId="43" xfId="1" applyFont="1" applyFill="1" applyBorder="1" applyAlignment="1">
      <alignment vertical="center"/>
    </xf>
    <xf numFmtId="49" fontId="94" fillId="10" borderId="7" xfId="1" applyNumberFormat="1" applyFont="1" applyFill="1" applyBorder="1" applyAlignment="1">
      <alignment horizontal="left" vertical="center"/>
    </xf>
    <xf numFmtId="49" fontId="95" fillId="10" borderId="7" xfId="1" applyNumberFormat="1" applyFont="1" applyFill="1" applyBorder="1" applyAlignment="1">
      <alignment vertical="center"/>
    </xf>
    <xf numFmtId="49" fontId="91" fillId="10" borderId="7" xfId="1" applyNumberFormat="1" applyFont="1" applyFill="1" applyBorder="1" applyAlignment="1">
      <alignment vertical="center"/>
    </xf>
    <xf numFmtId="0" fontId="91" fillId="10" borderId="7" xfId="1" applyNumberFormat="1" applyFont="1" applyFill="1" applyBorder="1" applyAlignment="1">
      <alignment vertical="center"/>
    </xf>
    <xf numFmtId="3" fontId="95" fillId="10" borderId="7" xfId="1" applyNumberFormat="1" applyFont="1" applyFill="1" applyBorder="1" applyAlignment="1">
      <alignment vertical="center"/>
    </xf>
    <xf numFmtId="49" fontId="95" fillId="10" borderId="7" xfId="1" applyNumberFormat="1" applyFont="1" applyFill="1" applyBorder="1" applyAlignment="1">
      <alignment horizontal="left" vertical="center"/>
    </xf>
    <xf numFmtId="0" fontId="94" fillId="10" borderId="7" xfId="1" applyFont="1" applyFill="1" applyBorder="1" applyAlignment="1">
      <alignment horizontal="left" vertical="center"/>
    </xf>
    <xf numFmtId="3" fontId="91" fillId="10" borderId="42" xfId="1" applyNumberFormat="1" applyFont="1" applyFill="1" applyBorder="1" applyAlignment="1">
      <alignment vertical="center"/>
    </xf>
    <xf numFmtId="9" fontId="91" fillId="10" borderId="7" xfId="1" applyNumberFormat="1" applyFont="1" applyFill="1" applyBorder="1" applyAlignment="1">
      <alignment vertical="center"/>
    </xf>
    <xf numFmtId="0" fontId="95" fillId="10" borderId="7" xfId="1" applyFont="1" applyFill="1" applyBorder="1" applyAlignment="1">
      <alignment vertical="center"/>
    </xf>
    <xf numFmtId="168" fontId="91" fillId="10" borderId="7" xfId="1" applyNumberFormat="1" applyFont="1" applyFill="1" applyBorder="1" applyAlignment="1">
      <alignment vertical="center"/>
    </xf>
    <xf numFmtId="0" fontId="91" fillId="15" borderId="7" xfId="1" applyNumberFormat="1" applyFont="1" applyFill="1"/>
    <xf numFmtId="0" fontId="91" fillId="15" borderId="42" xfId="1" applyFont="1" applyFill="1" applyBorder="1"/>
    <xf numFmtId="0" fontId="91" fillId="15" borderId="7" xfId="1" applyFont="1" applyFill="1" applyBorder="1"/>
    <xf numFmtId="0" fontId="91" fillId="15" borderId="43" xfId="1" applyFont="1" applyFill="1" applyBorder="1"/>
    <xf numFmtId="0" fontId="91" fillId="15" borderId="42" xfId="1" applyFont="1" applyFill="1" applyBorder="1" applyAlignment="1">
      <alignment vertical="center"/>
    </xf>
    <xf numFmtId="0" fontId="91" fillId="15" borderId="7" xfId="1" applyFont="1" applyFill="1" applyBorder="1" applyAlignment="1">
      <alignment vertical="center"/>
    </xf>
    <xf numFmtId="49" fontId="96" fillId="15" borderId="7" xfId="1" applyNumberFormat="1" applyFont="1" applyFill="1" applyBorder="1" applyAlignment="1">
      <alignment vertical="center"/>
    </xf>
    <xf numFmtId="0" fontId="96" fillId="12" borderId="7" xfId="1" applyNumberFormat="1" applyFont="1" applyFill="1"/>
    <xf numFmtId="0" fontId="96" fillId="12" borderId="44" xfId="1" applyFont="1" applyFill="1" applyBorder="1"/>
    <xf numFmtId="0" fontId="96" fillId="12" borderId="45" xfId="1" applyFont="1" applyFill="1" applyBorder="1"/>
    <xf numFmtId="0" fontId="96" fillId="12" borderId="46" xfId="1" applyFont="1" applyFill="1" applyBorder="1"/>
    <xf numFmtId="0" fontId="96" fillId="12" borderId="44" xfId="1" applyFont="1" applyFill="1" applyBorder="1" applyAlignment="1">
      <alignment vertical="center"/>
    </xf>
    <xf numFmtId="0" fontId="96" fillId="12" borderId="45" xfId="1" applyFont="1" applyFill="1" applyBorder="1" applyAlignment="1">
      <alignment vertical="center"/>
    </xf>
    <xf numFmtId="0" fontId="96" fillId="12" borderId="45" xfId="1" applyNumberFormat="1" applyFont="1" applyFill="1" applyBorder="1" applyAlignment="1">
      <alignment vertical="center"/>
    </xf>
    <xf numFmtId="0" fontId="96" fillId="12" borderId="46" xfId="1" applyFont="1" applyFill="1" applyBorder="1" applyAlignment="1">
      <alignment vertical="center"/>
    </xf>
    <xf numFmtId="37" fontId="100" fillId="11" borderId="7" xfId="2" applyFont="1" applyFill="1"/>
    <xf numFmtId="37" fontId="100" fillId="11" borderId="7" xfId="2" applyFont="1" applyFill="1" applyAlignment="1">
      <alignment horizontal="right"/>
    </xf>
    <xf numFmtId="168" fontId="100" fillId="11" borderId="7" xfId="3" applyNumberFormat="1" applyFont="1" applyFill="1"/>
    <xf numFmtId="168" fontId="100" fillId="11" borderId="7" xfId="3" applyNumberFormat="1" applyFont="1" applyFill="1" applyAlignment="1">
      <alignment horizontal="right"/>
    </xf>
    <xf numFmtId="0" fontId="102" fillId="0" borderId="7" xfId="4" applyFont="1"/>
    <xf numFmtId="0" fontId="102" fillId="11" borderId="7" xfId="4" applyFont="1" applyFill="1"/>
    <xf numFmtId="0" fontId="103" fillId="13" borderId="7" xfId="4" applyFont="1" applyFill="1" applyAlignment="1">
      <alignment horizontal="center"/>
    </xf>
    <xf numFmtId="0" fontId="104" fillId="13" borderId="7" xfId="4" applyFont="1" applyFill="1" applyAlignment="1">
      <alignment horizontal="center"/>
    </xf>
    <xf numFmtId="1" fontId="104" fillId="13" borderId="7" xfId="4" applyNumberFormat="1" applyFont="1" applyFill="1" applyAlignment="1">
      <alignment horizontal="center"/>
    </xf>
    <xf numFmtId="1" fontId="103" fillId="13" borderId="7" xfId="4" applyNumberFormat="1" applyFont="1" applyFill="1" applyAlignment="1">
      <alignment horizontal="center"/>
    </xf>
    <xf numFmtId="0" fontId="105" fillId="13" borderId="7" xfId="4" applyFont="1" applyFill="1"/>
    <xf numFmtId="0" fontId="103" fillId="13" borderId="7" xfId="4" applyFont="1" applyFill="1"/>
    <xf numFmtId="0" fontId="103" fillId="13" borderId="7" xfId="4" applyFont="1" applyFill="1" applyAlignment="1">
      <alignment vertical="center"/>
    </xf>
    <xf numFmtId="37" fontId="106" fillId="11" borderId="7" xfId="2" applyFont="1" applyFill="1"/>
    <xf numFmtId="187" fontId="107" fillId="11" borderId="7" xfId="5" applyNumberFormat="1" applyFont="1" applyFill="1" applyAlignment="1">
      <alignment horizontal="right"/>
    </xf>
    <xf numFmtId="187" fontId="100" fillId="11" borderId="7" xfId="5" applyNumberFormat="1" applyFont="1" applyFill="1" applyAlignment="1">
      <alignment horizontal="right"/>
    </xf>
    <xf numFmtId="168" fontId="107" fillId="11" borderId="7" xfId="3" applyNumberFormat="1" applyFont="1" applyFill="1" applyAlignment="1">
      <alignment horizontal="right"/>
    </xf>
    <xf numFmtId="169" fontId="108" fillId="11" borderId="7" xfId="2" applyNumberFormat="1" applyFont="1" applyFill="1" applyAlignment="1">
      <alignment horizontal="left"/>
    </xf>
    <xf numFmtId="179" fontId="107" fillId="11" borderId="7" xfId="5" applyNumberFormat="1" applyFont="1" applyFill="1" applyAlignment="1">
      <alignment horizontal="right"/>
    </xf>
    <xf numFmtId="0" fontId="109" fillId="16" borderId="47" xfId="6" quotePrefix="1" applyNumberFormat="1" applyFont="1" applyFill="1" applyBorder="1" applyAlignment="1">
      <alignment horizontal="right" vertical="center" wrapText="1"/>
    </xf>
    <xf numFmtId="0" fontId="109" fillId="16" borderId="47" xfId="6" quotePrefix="1" applyNumberFormat="1" applyFont="1" applyFill="1" applyBorder="1" applyAlignment="1">
      <alignment horizontal="right" vertical="center"/>
    </xf>
    <xf numFmtId="0" fontId="110" fillId="16" borderId="47" xfId="6" quotePrefix="1" applyNumberFormat="1" applyFont="1" applyFill="1" applyBorder="1" applyAlignment="1">
      <alignment horizontal="right" vertical="center"/>
    </xf>
    <xf numFmtId="0" fontId="109" fillId="16" borderId="7" xfId="6" quotePrefix="1" applyNumberFormat="1" applyFont="1" applyFill="1" applyAlignment="1">
      <alignment horizontal="left" vertical="center"/>
    </xf>
    <xf numFmtId="37" fontId="110" fillId="11" borderId="7" xfId="2" applyFont="1" applyFill="1" applyAlignment="1">
      <alignment horizontal="right"/>
    </xf>
    <xf numFmtId="37" fontId="110" fillId="11" borderId="7" xfId="2" applyFont="1" applyFill="1"/>
    <xf numFmtId="37" fontId="100" fillId="11" borderId="7" xfId="2" applyFont="1" applyFill="1" applyAlignment="1">
      <alignment horizontal="left"/>
    </xf>
    <xf numFmtId="1" fontId="106" fillId="11" borderId="48" xfId="5" applyNumberFormat="1" applyFont="1" applyFill="1" applyBorder="1" applyAlignment="1">
      <alignment horizontal="right"/>
    </xf>
    <xf numFmtId="1" fontId="110" fillId="11" borderId="48" xfId="5" applyNumberFormat="1" applyFont="1" applyFill="1" applyBorder="1" applyAlignment="1">
      <alignment horizontal="right"/>
    </xf>
    <xf numFmtId="37" fontId="106" fillId="11" borderId="48" xfId="2" applyFont="1" applyFill="1" applyBorder="1"/>
    <xf numFmtId="37" fontId="111" fillId="11" borderId="7" xfId="2" applyFont="1" applyFill="1"/>
    <xf numFmtId="37" fontId="112" fillId="11" borderId="7" xfId="2" applyFont="1" applyFill="1"/>
    <xf numFmtId="179" fontId="108" fillId="11" borderId="7" xfId="2" applyNumberFormat="1" applyFont="1" applyFill="1"/>
    <xf numFmtId="179" fontId="108" fillId="11" borderId="7" xfId="7" applyNumberFormat="1" applyFont="1" applyFill="1"/>
    <xf numFmtId="179" fontId="113" fillId="11" borderId="7" xfId="7" applyNumberFormat="1" applyFont="1" applyFill="1" applyBorder="1" applyAlignment="1">
      <alignment horizontal="right"/>
    </xf>
    <xf numFmtId="179" fontId="106" fillId="11" borderId="7" xfId="2" applyNumberFormat="1" applyFont="1" applyFill="1" applyAlignment="1">
      <alignment horizontal="right"/>
    </xf>
    <xf numFmtId="179" fontId="110" fillId="11" borderId="7" xfId="2" applyNumberFormat="1" applyFont="1" applyFill="1" applyAlignment="1">
      <alignment horizontal="right"/>
    </xf>
    <xf numFmtId="179" fontId="106" fillId="11" borderId="7" xfId="2" applyNumberFormat="1" applyFont="1" applyFill="1" applyAlignment="1">
      <alignment horizontal="left"/>
    </xf>
    <xf numFmtId="189" fontId="100" fillId="11" borderId="7" xfId="2" applyNumberFormat="1" applyFont="1" applyFill="1" applyAlignment="1">
      <alignment horizontal="right"/>
    </xf>
    <xf numFmtId="187" fontId="114" fillId="11" borderId="7" xfId="5" applyNumberFormat="1" applyFont="1" applyFill="1" applyAlignment="1">
      <alignment horizontal="right"/>
    </xf>
    <xf numFmtId="9" fontId="114" fillId="11" borderId="7" xfId="3" applyFont="1" applyFill="1" applyAlignment="1">
      <alignment horizontal="right"/>
    </xf>
    <xf numFmtId="37" fontId="93" fillId="11" borderId="7" xfId="2" applyFont="1" applyFill="1" applyAlignment="1">
      <alignment horizontal="right"/>
    </xf>
    <xf numFmtId="37" fontId="93" fillId="11" borderId="7" xfId="2" applyFont="1" applyFill="1" applyAlignment="1">
      <alignment horizontal="left"/>
    </xf>
    <xf numFmtId="3" fontId="100" fillId="11" borderId="7" xfId="2" applyNumberFormat="1" applyFont="1" applyFill="1" applyAlignment="1">
      <alignment horizontal="right"/>
    </xf>
    <xf numFmtId="37" fontId="108" fillId="11" borderId="7" xfId="2" applyFont="1" applyFill="1"/>
    <xf numFmtId="168" fontId="108" fillId="11" borderId="7" xfId="7" applyNumberFormat="1" applyFont="1" applyFill="1"/>
    <xf numFmtId="190" fontId="113" fillId="11" borderId="7" xfId="7" applyNumberFormat="1" applyFont="1" applyFill="1" applyBorder="1" applyAlignment="1">
      <alignment horizontal="right"/>
    </xf>
    <xf numFmtId="187" fontId="108" fillId="11" borderId="7" xfId="5" applyNumberFormat="1" applyFont="1" applyFill="1" applyAlignment="1">
      <alignment horizontal="right"/>
    </xf>
    <xf numFmtId="187" fontId="110" fillId="11" borderId="7" xfId="5" applyNumberFormat="1" applyFont="1" applyFill="1" applyAlignment="1">
      <alignment horizontal="right"/>
    </xf>
    <xf numFmtId="37" fontId="106" fillId="11" borderId="7" xfId="2" applyFont="1" applyFill="1" applyAlignment="1">
      <alignment horizontal="right"/>
    </xf>
    <xf numFmtId="37" fontId="106" fillId="11" borderId="7" xfId="2" applyFont="1" applyFill="1" applyAlignment="1">
      <alignment horizontal="left"/>
    </xf>
    <xf numFmtId="182" fontId="100" fillId="11" borderId="7" xfId="2" applyNumberFormat="1" applyFont="1" applyFill="1" applyAlignment="1">
      <alignment horizontal="right"/>
    </xf>
    <xf numFmtId="169" fontId="100" fillId="11" borderId="7" xfId="2" applyNumberFormat="1" applyFont="1" applyFill="1" applyAlignment="1">
      <alignment horizontal="right"/>
    </xf>
    <xf numFmtId="37" fontId="93" fillId="11" borderId="48" xfId="2" applyFont="1" applyFill="1" applyBorder="1" applyAlignment="1">
      <alignment horizontal="right"/>
    </xf>
    <xf numFmtId="37" fontId="100" fillId="11" borderId="48" xfId="2" applyFont="1" applyFill="1" applyBorder="1" applyAlignment="1">
      <alignment horizontal="right"/>
    </xf>
    <xf numFmtId="37" fontId="106" fillId="11" borderId="7" xfId="2" applyFont="1" applyFill="1" applyAlignment="1">
      <alignment wrapText="1"/>
    </xf>
    <xf numFmtId="37" fontId="108" fillId="11" borderId="7" xfId="2" applyFont="1" applyFill="1" applyAlignment="1">
      <alignment horizontal="right"/>
    </xf>
    <xf numFmtId="179" fontId="100" fillId="11" borderId="7" xfId="2" applyNumberFormat="1" applyFont="1" applyFill="1" applyAlignment="1">
      <alignment horizontal="right"/>
    </xf>
    <xf numFmtId="191" fontId="100" fillId="11" borderId="7" xfId="2" applyNumberFormat="1" applyFont="1" applyFill="1" applyAlignment="1">
      <alignment horizontal="right"/>
    </xf>
    <xf numFmtId="37" fontId="116" fillId="11" borderId="7" xfId="2" applyFont="1" applyFill="1"/>
    <xf numFmtId="37" fontId="116" fillId="11" borderId="7" xfId="2" applyFont="1" applyFill="1" applyAlignment="1">
      <alignment horizontal="right"/>
    </xf>
    <xf numFmtId="9" fontId="112" fillId="11" borderId="7" xfId="7" applyFont="1" applyFill="1" applyBorder="1" applyAlignment="1">
      <alignment horizontal="right"/>
    </xf>
    <xf numFmtId="9" fontId="111" fillId="11" borderId="7" xfId="7" applyFont="1" applyFill="1" applyBorder="1" applyAlignment="1">
      <alignment horizontal="right"/>
    </xf>
    <xf numFmtId="37" fontId="112" fillId="11" borderId="7" xfId="2" applyFont="1" applyFill="1" applyAlignment="1">
      <alignment horizontal="left" indent="3"/>
    </xf>
    <xf numFmtId="168" fontId="106" fillId="11" borderId="7" xfId="3" applyNumberFormat="1" applyFont="1" applyFill="1" applyBorder="1" applyAlignment="1">
      <alignment horizontal="right"/>
    </xf>
    <xf numFmtId="192" fontId="110" fillId="11" borderId="7" xfId="2" applyNumberFormat="1" applyFont="1" applyFill="1" applyAlignment="1">
      <alignment horizontal="right"/>
    </xf>
    <xf numFmtId="169" fontId="106" fillId="11" borderId="7" xfId="2" applyNumberFormat="1" applyFont="1" applyFill="1" applyAlignment="1">
      <alignment horizontal="right"/>
    </xf>
    <xf numFmtId="193" fontId="93" fillId="11" borderId="7" xfId="8" applyNumberFormat="1" applyFont="1" applyFill="1" applyBorder="1" applyAlignment="1">
      <alignment horizontal="right"/>
    </xf>
    <xf numFmtId="187" fontId="93" fillId="11" borderId="7" xfId="8" applyNumberFormat="1" applyFont="1" applyFill="1" applyBorder="1" applyAlignment="1">
      <alignment horizontal="right"/>
    </xf>
    <xf numFmtId="187" fontId="100" fillId="11" borderId="7" xfId="8" applyNumberFormat="1" applyFont="1" applyFill="1" applyBorder="1" applyAlignment="1">
      <alignment horizontal="right"/>
    </xf>
    <xf numFmtId="168" fontId="114" fillId="11" borderId="7" xfId="3" applyNumberFormat="1" applyFont="1" applyFill="1" applyAlignment="1">
      <alignment horizontal="right"/>
    </xf>
    <xf numFmtId="193" fontId="100" fillId="11" borderId="7" xfId="8" applyNumberFormat="1" applyFont="1" applyFill="1" applyBorder="1" applyAlignment="1">
      <alignment horizontal="right"/>
    </xf>
    <xf numFmtId="168" fontId="93" fillId="11" borderId="7" xfId="3" applyNumberFormat="1" applyFont="1" applyFill="1" applyBorder="1" applyAlignment="1">
      <alignment horizontal="right"/>
    </xf>
    <xf numFmtId="168" fontId="112" fillId="11" borderId="7" xfId="2" applyNumberFormat="1" applyFont="1" applyFill="1"/>
    <xf numFmtId="168" fontId="106" fillId="11" borderId="7" xfId="2" applyNumberFormat="1" applyFont="1" applyFill="1" applyAlignment="1">
      <alignment horizontal="left"/>
    </xf>
    <xf numFmtId="169" fontId="93" fillId="11" borderId="7" xfId="2" applyNumberFormat="1" applyFont="1" applyFill="1" applyAlignment="1">
      <alignment horizontal="right"/>
    </xf>
    <xf numFmtId="190" fontId="111" fillId="11" borderId="7" xfId="7" applyNumberFormat="1" applyFont="1" applyFill="1" applyBorder="1" applyAlignment="1">
      <alignment horizontal="right"/>
    </xf>
    <xf numFmtId="168" fontId="100" fillId="11" borderId="7" xfId="7" applyNumberFormat="1" applyFont="1" applyFill="1"/>
    <xf numFmtId="3" fontId="93" fillId="11" borderId="7" xfId="2" applyNumberFormat="1" applyFont="1" applyFill="1" applyAlignment="1">
      <alignment horizontal="right"/>
    </xf>
    <xf numFmtId="37" fontId="93" fillId="11" borderId="7" xfId="2" applyFont="1" applyFill="1" applyAlignment="1">
      <alignment horizontal="left" indent="2"/>
    </xf>
    <xf numFmtId="194" fontId="112" fillId="11" borderId="7" xfId="5" applyNumberFormat="1" applyFont="1" applyFill="1" applyBorder="1" applyAlignment="1">
      <alignment horizontal="right"/>
    </xf>
    <xf numFmtId="194" fontId="111" fillId="11" borderId="7" xfId="5" applyNumberFormat="1" applyFont="1" applyFill="1" applyBorder="1" applyAlignment="1">
      <alignment horizontal="right"/>
    </xf>
    <xf numFmtId="3" fontId="106" fillId="11" borderId="7" xfId="2" applyNumberFormat="1" applyFont="1" applyFill="1" applyAlignment="1">
      <alignment horizontal="right"/>
    </xf>
    <xf numFmtId="3" fontId="110" fillId="11" borderId="7" xfId="2" applyNumberFormat="1" applyFont="1" applyFill="1" applyAlignment="1">
      <alignment horizontal="right"/>
    </xf>
    <xf numFmtId="37" fontId="110" fillId="0" borderId="7" xfId="2" applyFont="1" applyAlignment="1">
      <alignment horizontal="right"/>
    </xf>
    <xf numFmtId="37" fontId="112" fillId="11" borderId="7" xfId="2" applyFont="1" applyFill="1" applyAlignment="1">
      <alignment horizontal="left" indent="2"/>
    </xf>
    <xf numFmtId="1" fontId="100" fillId="11" borderId="7" xfId="2" applyNumberFormat="1" applyFont="1" applyFill="1"/>
    <xf numFmtId="9" fontId="112" fillId="11" borderId="7" xfId="3" applyFont="1" applyFill="1" applyBorder="1" applyAlignment="1">
      <alignment horizontal="right"/>
    </xf>
    <xf numFmtId="9" fontId="111" fillId="11" borderId="7" xfId="3" applyFont="1" applyFill="1" applyBorder="1" applyAlignment="1">
      <alignment horizontal="right"/>
    </xf>
    <xf numFmtId="168" fontId="111" fillId="11" borderId="7" xfId="7" applyNumberFormat="1" applyFont="1" applyFill="1" applyBorder="1" applyAlignment="1">
      <alignment horizontal="right"/>
    </xf>
    <xf numFmtId="168" fontId="112" fillId="11" borderId="7" xfId="7" applyNumberFormat="1" applyFont="1" applyFill="1" applyBorder="1" applyAlignment="1">
      <alignment horizontal="right"/>
    </xf>
    <xf numFmtId="195" fontId="93" fillId="11" borderId="7" xfId="8" applyNumberFormat="1" applyFont="1" applyFill="1" applyBorder="1" applyAlignment="1">
      <alignment horizontal="right"/>
    </xf>
    <xf numFmtId="1" fontId="111" fillId="11" borderId="7" xfId="2" applyNumberFormat="1" applyFont="1" applyFill="1"/>
    <xf numFmtId="189" fontId="93" fillId="11" borderId="7" xfId="2" applyNumberFormat="1" applyFont="1" applyFill="1" applyAlignment="1">
      <alignment horizontal="right"/>
    </xf>
    <xf numFmtId="193" fontId="117" fillId="11" borderId="7" xfId="8" applyNumberFormat="1" applyFont="1" applyFill="1" applyBorder="1" applyAlignment="1">
      <alignment horizontal="right"/>
    </xf>
    <xf numFmtId="9" fontId="100" fillId="11" borderId="7" xfId="7" applyFont="1" applyFill="1" applyBorder="1" applyAlignment="1">
      <alignment horizontal="right"/>
    </xf>
    <xf numFmtId="9" fontId="93" fillId="11" borderId="7" xfId="7" applyFont="1" applyFill="1" applyBorder="1" applyAlignment="1">
      <alignment horizontal="right"/>
    </xf>
    <xf numFmtId="0" fontId="118" fillId="16" borderId="47" xfId="6" quotePrefix="1" applyNumberFormat="1" applyFont="1" applyFill="1" applyBorder="1" applyAlignment="1">
      <alignment horizontal="right" vertical="center"/>
    </xf>
    <xf numFmtId="0" fontId="101" fillId="11" borderId="7" xfId="4" applyFill="1"/>
    <xf numFmtId="0" fontId="101" fillId="17" borderId="7" xfId="4" applyFill="1"/>
    <xf numFmtId="0" fontId="101" fillId="17" borderId="49" xfId="4" applyFill="1" applyBorder="1"/>
    <xf numFmtId="9" fontId="112" fillId="17" borderId="50" xfId="3" applyFont="1" applyFill="1" applyBorder="1" applyAlignment="1">
      <alignment horizontal="right"/>
    </xf>
    <xf numFmtId="0" fontId="101" fillId="17" borderId="50" xfId="4" applyFill="1" applyBorder="1"/>
    <xf numFmtId="37" fontId="112" fillId="17" borderId="51" xfId="2" applyFont="1" applyFill="1" applyBorder="1" applyAlignment="1">
      <alignment horizontal="left" indent="3"/>
    </xf>
    <xf numFmtId="190" fontId="111" fillId="0" borderId="52" xfId="7" applyNumberFormat="1" applyFont="1" applyFill="1" applyBorder="1" applyAlignment="1">
      <alignment horizontal="right"/>
    </xf>
    <xf numFmtId="187" fontId="108" fillId="11" borderId="7" xfId="5" applyNumberFormat="1" applyFont="1" applyFill="1" applyBorder="1" applyAlignment="1">
      <alignment horizontal="right"/>
    </xf>
    <xf numFmtId="37" fontId="106" fillId="11" borderId="53" xfId="2" applyFont="1" applyFill="1" applyBorder="1" applyAlignment="1">
      <alignment horizontal="left"/>
    </xf>
    <xf numFmtId="0" fontId="101" fillId="17" borderId="52" xfId="4" applyFill="1" applyBorder="1"/>
    <xf numFmtId="9" fontId="112" fillId="17" borderId="7" xfId="3" applyFont="1" applyFill="1" applyBorder="1" applyAlignment="1">
      <alignment horizontal="right"/>
    </xf>
    <xf numFmtId="168" fontId="112" fillId="17" borderId="7" xfId="7" applyNumberFormat="1" applyFont="1" applyFill="1" applyBorder="1" applyAlignment="1">
      <alignment horizontal="right"/>
    </xf>
    <xf numFmtId="37" fontId="112" fillId="17" borderId="53" xfId="2" applyFont="1" applyFill="1" applyBorder="1" applyAlignment="1">
      <alignment horizontal="left" indent="3"/>
    </xf>
    <xf numFmtId="9" fontId="112" fillId="17" borderId="7" xfId="7" applyFont="1" applyFill="1" applyBorder="1" applyAlignment="1">
      <alignment horizontal="right"/>
    </xf>
    <xf numFmtId="37" fontId="112" fillId="17" borderId="7" xfId="2" applyFont="1" applyFill="1" applyAlignment="1">
      <alignment horizontal="left" indent="3"/>
    </xf>
    <xf numFmtId="190" fontId="111" fillId="17" borderId="52" xfId="7" applyNumberFormat="1" applyFont="1" applyFill="1" applyBorder="1" applyAlignment="1">
      <alignment horizontal="right"/>
    </xf>
    <xf numFmtId="3" fontId="93" fillId="17" borderId="7" xfId="2" applyNumberFormat="1" applyFont="1" applyFill="1" applyAlignment="1">
      <alignment horizontal="right"/>
    </xf>
    <xf numFmtId="37" fontId="93" fillId="17" borderId="7" xfId="2" applyFont="1" applyFill="1" applyAlignment="1">
      <alignment horizontal="left"/>
    </xf>
    <xf numFmtId="37" fontId="93" fillId="17" borderId="53" xfId="2" applyFont="1" applyFill="1" applyBorder="1" applyAlignment="1">
      <alignment horizontal="right"/>
    </xf>
    <xf numFmtId="37" fontId="93" fillId="11" borderId="53" xfId="2" applyFont="1" applyFill="1" applyBorder="1" applyAlignment="1">
      <alignment horizontal="right"/>
    </xf>
    <xf numFmtId="190" fontId="111" fillId="0" borderId="54" xfId="7" applyNumberFormat="1" applyFont="1" applyFill="1" applyBorder="1" applyAlignment="1">
      <alignment horizontal="right"/>
    </xf>
    <xf numFmtId="3" fontId="93" fillId="11" borderId="55" xfId="2" applyNumberFormat="1" applyFont="1" applyFill="1" applyBorder="1" applyAlignment="1">
      <alignment horizontal="right"/>
    </xf>
    <xf numFmtId="37" fontId="93" fillId="11" borderId="55" xfId="2" applyFont="1" applyFill="1" applyBorder="1" applyAlignment="1">
      <alignment horizontal="left"/>
    </xf>
    <xf numFmtId="37" fontId="93" fillId="11" borderId="56" xfId="2" applyFont="1" applyFill="1" applyBorder="1" applyAlignment="1">
      <alignment horizontal="right"/>
    </xf>
    <xf numFmtId="37" fontId="100" fillId="18" borderId="7" xfId="2" applyFont="1" applyFill="1"/>
    <xf numFmtId="0" fontId="109" fillId="19" borderId="47" xfId="6" quotePrefix="1" applyNumberFormat="1" applyFont="1" applyFill="1" applyBorder="1" applyAlignment="1">
      <alignment horizontal="right" vertical="center" wrapText="1"/>
    </xf>
    <xf numFmtId="0" fontId="109" fillId="19" borderId="47" xfId="6" quotePrefix="1" applyNumberFormat="1" applyFont="1" applyFill="1" applyBorder="1" applyAlignment="1">
      <alignment horizontal="right" vertical="center"/>
    </xf>
    <xf numFmtId="0" fontId="109" fillId="19" borderId="7" xfId="6" quotePrefix="1" applyNumberFormat="1" applyFont="1" applyFill="1" applyAlignment="1">
      <alignment horizontal="left" vertical="center"/>
    </xf>
    <xf numFmtId="0" fontId="101" fillId="0" borderId="7" xfId="4"/>
    <xf numFmtId="37" fontId="100" fillId="17" borderId="7" xfId="2" applyFont="1" applyFill="1" applyAlignment="1">
      <alignment horizontal="right"/>
    </xf>
    <xf numFmtId="187" fontId="107" fillId="17" borderId="7" xfId="5" applyNumberFormat="1" applyFont="1" applyFill="1" applyAlignment="1">
      <alignment horizontal="right"/>
    </xf>
    <xf numFmtId="37" fontId="100" fillId="17" borderId="7" xfId="2" applyFont="1" applyFill="1"/>
    <xf numFmtId="187" fontId="107" fillId="11" borderId="49" xfId="5" applyNumberFormat="1" applyFont="1" applyFill="1" applyBorder="1" applyAlignment="1">
      <alignment horizontal="right"/>
    </xf>
    <xf numFmtId="187" fontId="107" fillId="11" borderId="50" xfId="5" applyNumberFormat="1" applyFont="1" applyFill="1" applyBorder="1" applyAlignment="1">
      <alignment horizontal="right"/>
    </xf>
    <xf numFmtId="37" fontId="106" fillId="11" borderId="50" xfId="2" applyFont="1" applyFill="1" applyBorder="1" applyAlignment="1">
      <alignment wrapText="1"/>
    </xf>
    <xf numFmtId="37" fontId="106" fillId="11" borderId="51" xfId="2" applyFont="1" applyFill="1" applyBorder="1"/>
    <xf numFmtId="187" fontId="108" fillId="11" borderId="52" xfId="5" applyNumberFormat="1" applyFont="1" applyFill="1" applyBorder="1" applyAlignment="1">
      <alignment horizontal="right"/>
    </xf>
    <xf numFmtId="37" fontId="106" fillId="11" borderId="53" xfId="2" applyFont="1" applyFill="1" applyBorder="1"/>
    <xf numFmtId="187" fontId="107" fillId="11" borderId="52" xfId="5" applyNumberFormat="1" applyFont="1" applyFill="1" applyBorder="1" applyAlignment="1">
      <alignment horizontal="right"/>
    </xf>
    <xf numFmtId="187" fontId="107" fillId="11" borderId="7" xfId="5" applyNumberFormat="1" applyFont="1" applyFill="1" applyBorder="1" applyAlignment="1">
      <alignment horizontal="right"/>
    </xf>
    <xf numFmtId="37" fontId="93" fillId="11" borderId="53" xfId="2" applyFont="1" applyFill="1" applyBorder="1"/>
    <xf numFmtId="187" fontId="107" fillId="17" borderId="52" xfId="5" applyNumberFormat="1" applyFont="1" applyFill="1" applyBorder="1" applyAlignment="1">
      <alignment horizontal="right"/>
    </xf>
    <xf numFmtId="187" fontId="107" fillId="17" borderId="7" xfId="5" applyNumberFormat="1" applyFont="1" applyFill="1" applyBorder="1" applyAlignment="1">
      <alignment horizontal="right"/>
    </xf>
    <xf numFmtId="37" fontId="93" fillId="17" borderId="7" xfId="2" applyFont="1" applyFill="1"/>
    <xf numFmtId="37" fontId="93" fillId="17" borderId="53" xfId="2" applyFont="1" applyFill="1" applyBorder="1"/>
    <xf numFmtId="179" fontId="100" fillId="11" borderId="52" xfId="2" applyNumberFormat="1" applyFont="1" applyFill="1" applyBorder="1" applyAlignment="1">
      <alignment horizontal="right"/>
    </xf>
    <xf numFmtId="187" fontId="107" fillId="17" borderId="54" xfId="5" applyNumberFormat="1" applyFont="1" applyFill="1" applyBorder="1" applyAlignment="1">
      <alignment horizontal="right"/>
    </xf>
    <xf numFmtId="187" fontId="107" fillId="17" borderId="55" xfId="5" applyNumberFormat="1" applyFont="1" applyFill="1" applyBorder="1" applyAlignment="1">
      <alignment horizontal="right"/>
    </xf>
    <xf numFmtId="37" fontId="93" fillId="17" borderId="55" xfId="2" applyFont="1" applyFill="1" applyBorder="1"/>
    <xf numFmtId="37" fontId="93" fillId="17" borderId="56" xfId="2" applyFont="1" applyFill="1" applyBorder="1"/>
    <xf numFmtId="37" fontId="93" fillId="11" borderId="50" xfId="2" applyFont="1" applyFill="1" applyBorder="1"/>
    <xf numFmtId="37" fontId="93" fillId="11" borderId="51" xfId="2" applyFont="1" applyFill="1" applyBorder="1"/>
    <xf numFmtId="179" fontId="106" fillId="11" borderId="55" xfId="2" applyNumberFormat="1" applyFont="1" applyFill="1" applyBorder="1" applyAlignment="1">
      <alignment horizontal="right"/>
    </xf>
    <xf numFmtId="179" fontId="106" fillId="11" borderId="54" xfId="2" applyNumberFormat="1" applyFont="1" applyFill="1" applyBorder="1" applyAlignment="1">
      <alignment horizontal="right"/>
    </xf>
    <xf numFmtId="179" fontId="106" fillId="11" borderId="56" xfId="2" applyNumberFormat="1" applyFont="1" applyFill="1" applyBorder="1" applyAlignment="1">
      <alignment horizontal="left"/>
    </xf>
    <xf numFmtId="187" fontId="100" fillId="17" borderId="7" xfId="5" applyNumberFormat="1" applyFont="1" applyFill="1" applyAlignment="1">
      <alignment horizontal="right"/>
    </xf>
    <xf numFmtId="187" fontId="100" fillId="17" borderId="52" xfId="5" applyNumberFormat="1" applyFont="1" applyFill="1" applyBorder="1" applyAlignment="1">
      <alignment horizontal="right"/>
    </xf>
    <xf numFmtId="187" fontId="100" fillId="17" borderId="7" xfId="5" applyNumberFormat="1" applyFont="1" applyFill="1" applyBorder="1" applyAlignment="1">
      <alignment horizontal="right"/>
    </xf>
    <xf numFmtId="187" fontId="114" fillId="17" borderId="7" xfId="5" applyNumberFormat="1" applyFont="1" applyFill="1" applyBorder="1" applyAlignment="1">
      <alignment horizontal="right"/>
    </xf>
    <xf numFmtId="37" fontId="93" fillId="17" borderId="53" xfId="2" applyFont="1" applyFill="1" applyBorder="1" applyAlignment="1">
      <alignment horizontal="left"/>
    </xf>
    <xf numFmtId="187" fontId="100" fillId="11" borderId="52" xfId="5" applyNumberFormat="1" applyFont="1" applyFill="1" applyBorder="1" applyAlignment="1">
      <alignment horizontal="right"/>
    </xf>
    <xf numFmtId="187" fontId="100" fillId="11" borderId="7" xfId="5" applyNumberFormat="1" applyFont="1" applyFill="1" applyBorder="1" applyAlignment="1">
      <alignment horizontal="right"/>
    </xf>
    <xf numFmtId="187" fontId="114" fillId="11" borderId="7" xfId="5" applyNumberFormat="1" applyFont="1" applyFill="1" applyBorder="1" applyAlignment="1">
      <alignment horizontal="right"/>
    </xf>
    <xf numFmtId="37" fontId="93" fillId="17" borderId="7" xfId="2" applyFont="1" applyFill="1" applyAlignment="1">
      <alignment horizontal="right"/>
    </xf>
    <xf numFmtId="189" fontId="100" fillId="17" borderId="7" xfId="2" applyNumberFormat="1" applyFont="1" applyFill="1" applyAlignment="1">
      <alignment horizontal="right"/>
    </xf>
    <xf numFmtId="3" fontId="100" fillId="17" borderId="7" xfId="2" applyNumberFormat="1" applyFont="1" applyFill="1" applyAlignment="1">
      <alignment horizontal="right"/>
    </xf>
    <xf numFmtId="182" fontId="100" fillId="17" borderId="7" xfId="2" applyNumberFormat="1" applyFont="1" applyFill="1" applyAlignment="1">
      <alignment horizontal="right"/>
    </xf>
    <xf numFmtId="169" fontId="100" fillId="17" borderId="55" xfId="2" applyNumberFormat="1" applyFont="1" applyFill="1" applyBorder="1" applyAlignment="1">
      <alignment horizontal="right"/>
    </xf>
    <xf numFmtId="0" fontId="91" fillId="0" borderId="43" xfId="1" applyFont="1" applyFill="1" applyBorder="1" applyAlignment="1">
      <alignment vertical="center"/>
    </xf>
    <xf numFmtId="49" fontId="95" fillId="0" borderId="7" xfId="1" applyNumberFormat="1" applyFont="1" applyFill="1" applyBorder="1" applyAlignment="1">
      <alignment vertical="center"/>
    </xf>
    <xf numFmtId="0" fontId="91" fillId="0" borderId="7" xfId="1" applyFont="1" applyFill="1" applyBorder="1" applyAlignment="1">
      <alignment vertical="center"/>
    </xf>
    <xf numFmtId="9" fontId="91" fillId="0" borderId="7" xfId="1" applyNumberFormat="1" applyFont="1" applyFill="1" applyBorder="1" applyAlignment="1">
      <alignment vertical="center"/>
    </xf>
    <xf numFmtId="0" fontId="91" fillId="0" borderId="42" xfId="1" applyFont="1" applyFill="1" applyBorder="1" applyAlignment="1">
      <alignment vertical="center"/>
    </xf>
    <xf numFmtId="0" fontId="91" fillId="0" borderId="43" xfId="1" applyFont="1" applyFill="1" applyBorder="1"/>
    <xf numFmtId="0" fontId="91" fillId="0" borderId="7" xfId="1" applyFont="1" applyFill="1" applyBorder="1"/>
    <xf numFmtId="0" fontId="91" fillId="0" borderId="42" xfId="1" applyFont="1" applyFill="1" applyBorder="1"/>
    <xf numFmtId="0" fontId="91" fillId="0" borderId="7" xfId="1" applyNumberFormat="1" applyFont="1" applyFill="1"/>
    <xf numFmtId="0" fontId="10" fillId="14" borderId="19" xfId="0" applyFont="1" applyFill="1" applyBorder="1"/>
    <xf numFmtId="166" fontId="87" fillId="14" borderId="4" xfId="0" applyNumberFormat="1" applyFont="1" applyFill="1" applyBorder="1"/>
    <xf numFmtId="49" fontId="91" fillId="0" borderId="7" xfId="1" applyNumberFormat="1" applyFont="1" applyFill="1" applyBorder="1" applyAlignment="1">
      <alignment vertical="center"/>
    </xf>
    <xf numFmtId="0" fontId="91" fillId="0" borderId="7" xfId="1" applyNumberFormat="1" applyFont="1" applyFill="1" applyBorder="1" applyAlignment="1">
      <alignment vertical="center"/>
    </xf>
    <xf numFmtId="49" fontId="91" fillId="0" borderId="42" xfId="1" applyNumberFormat="1" applyFont="1" applyFill="1" applyBorder="1" applyAlignment="1">
      <alignment vertical="center"/>
    </xf>
    <xf numFmtId="3" fontId="91" fillId="0" borderId="7" xfId="1" applyNumberFormat="1" applyFont="1" applyFill="1" applyBorder="1" applyAlignment="1">
      <alignment vertical="center"/>
    </xf>
    <xf numFmtId="0" fontId="96" fillId="0" borderId="7" xfId="1" applyFont="1" applyFill="1" applyBorder="1" applyAlignment="1">
      <alignment vertical="center"/>
    </xf>
    <xf numFmtId="185" fontId="91" fillId="0" borderId="7" xfId="1" applyNumberFormat="1" applyFont="1" applyFill="1" applyBorder="1" applyAlignment="1">
      <alignment vertical="center"/>
    </xf>
    <xf numFmtId="0" fontId="97" fillId="0" borderId="43" xfId="1" applyFont="1" applyFill="1" applyBorder="1" applyAlignment="1">
      <alignment vertical="center"/>
    </xf>
    <xf numFmtId="49" fontId="97" fillId="0" borderId="7" xfId="1" applyNumberFormat="1" applyFont="1" applyFill="1" applyBorder="1" applyAlignment="1">
      <alignment vertical="center"/>
    </xf>
    <xf numFmtId="0" fontId="97" fillId="0" borderId="7" xfId="1" applyFont="1" applyFill="1" applyBorder="1" applyAlignment="1">
      <alignment vertical="center"/>
    </xf>
    <xf numFmtId="183" fontId="97" fillId="0" borderId="7" xfId="1" applyNumberFormat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7" fillId="0" borderId="43" xfId="1" applyFont="1" applyFill="1" applyBorder="1"/>
    <xf numFmtId="0" fontId="97" fillId="0" borderId="7" xfId="1" applyFont="1" applyFill="1" applyBorder="1"/>
    <xf numFmtId="0" fontId="97" fillId="0" borderId="42" xfId="1" applyFont="1" applyFill="1" applyBorder="1"/>
    <xf numFmtId="0" fontId="97" fillId="0" borderId="7" xfId="1" applyNumberFormat="1" applyFont="1" applyFill="1"/>
    <xf numFmtId="183" fontId="91" fillId="0" borderId="7" xfId="1" applyNumberFormat="1" applyFont="1" applyFill="1" applyBorder="1" applyAlignment="1">
      <alignment vertical="center"/>
    </xf>
    <xf numFmtId="49" fontId="99" fillId="0" borderId="7" xfId="1" applyNumberFormat="1" applyFont="1" applyFill="1" applyBorder="1" applyAlignment="1">
      <alignment vertical="center"/>
    </xf>
    <xf numFmtId="184" fontId="91" fillId="0" borderId="7" xfId="1" applyNumberFormat="1" applyFont="1" applyFill="1" applyBorder="1" applyAlignment="1">
      <alignment vertical="center"/>
    </xf>
    <xf numFmtId="184" fontId="97" fillId="0" borderId="7" xfId="1" applyNumberFormat="1" applyFont="1" applyFill="1" applyBorder="1" applyAlignment="1">
      <alignment vertical="center"/>
    </xf>
    <xf numFmtId="0" fontId="91" fillId="0" borderId="43" xfId="1" applyNumberFormat="1" applyFont="1" applyFill="1" applyBorder="1" applyAlignment="1">
      <alignment vertical="center"/>
    </xf>
    <xf numFmtId="49" fontId="98" fillId="0" borderId="7" xfId="1" applyNumberFormat="1" applyFont="1" applyFill="1" applyBorder="1" applyAlignment="1">
      <alignment vertical="center"/>
    </xf>
    <xf numFmtId="49" fontId="96" fillId="0" borderId="7" xfId="1" applyNumberFormat="1" applyFont="1" applyFill="1" applyBorder="1" applyAlignment="1">
      <alignment vertical="center"/>
    </xf>
    <xf numFmtId="3" fontId="95" fillId="0" borderId="7" xfId="1" applyNumberFormat="1" applyFont="1" applyFill="1" applyBorder="1" applyAlignment="1">
      <alignment vertical="center"/>
    </xf>
    <xf numFmtId="0" fontId="95" fillId="0" borderId="7" xfId="1" applyFont="1" applyFill="1" applyBorder="1" applyAlignment="1">
      <alignment vertical="center"/>
    </xf>
    <xf numFmtId="3" fontId="96" fillId="0" borderId="7" xfId="1" applyNumberFormat="1" applyFont="1" applyFill="1" applyBorder="1" applyAlignment="1">
      <alignment vertical="center"/>
    </xf>
    <xf numFmtId="3" fontId="91" fillId="0" borderId="42" xfId="1" applyNumberFormat="1" applyFont="1" applyFill="1" applyBorder="1" applyAlignment="1">
      <alignment vertical="center"/>
    </xf>
    <xf numFmtId="49" fontId="95" fillId="0" borderId="7" xfId="1" applyNumberFormat="1" applyFont="1" applyFill="1" applyBorder="1" applyAlignment="1">
      <alignment horizontal="right" vertical="center"/>
    </xf>
    <xf numFmtId="49" fontId="95" fillId="0" borderId="7" xfId="1" applyNumberFormat="1" applyFont="1" applyFill="1" applyBorder="1" applyAlignment="1">
      <alignment horizontal="left" vertical="center"/>
    </xf>
    <xf numFmtId="49" fontId="94" fillId="0" borderId="7" xfId="1" applyNumberFormat="1" applyFont="1" applyFill="1" applyBorder="1" applyAlignment="1">
      <alignment horizontal="left" vertical="center"/>
    </xf>
    <xf numFmtId="0" fontId="95" fillId="0" borderId="7" xfId="1" applyFont="1" applyFill="1" applyBorder="1" applyAlignment="1">
      <alignment horizontal="right" vertical="center"/>
    </xf>
    <xf numFmtId="182" fontId="91" fillId="0" borderId="7" xfId="1" applyNumberFormat="1" applyFont="1" applyFill="1" applyBorder="1" applyAlignment="1">
      <alignment vertical="center"/>
    </xf>
    <xf numFmtId="168" fontId="91" fillId="0" borderId="7" xfId="1" applyNumberFormat="1" applyFont="1" applyFill="1" applyBorder="1" applyAlignment="1">
      <alignment vertical="center"/>
    </xf>
    <xf numFmtId="166" fontId="87" fillId="0" borderId="17" xfId="0" applyNumberFormat="1" applyFont="1" applyBorder="1"/>
    <xf numFmtId="166" fontId="85" fillId="0" borderId="17" xfId="0" applyNumberFormat="1" applyFont="1" applyBorder="1"/>
    <xf numFmtId="166" fontId="86" fillId="0" borderId="17" xfId="0" applyNumberFormat="1" applyFont="1" applyBorder="1"/>
    <xf numFmtId="0" fontId="9" fillId="2" borderId="12" xfId="0" applyFont="1" applyFill="1" applyBorder="1" applyAlignment="1">
      <alignment horizontal="left"/>
    </xf>
    <xf numFmtId="0" fontId="2" fillId="0" borderId="6" xfId="0" applyFont="1" applyBorder="1"/>
    <xf numFmtId="0" fontId="120" fillId="0" borderId="7" xfId="1" applyFont="1" applyFill="1" applyBorder="1" applyAlignment="1">
      <alignment horizontal="center" vertical="center"/>
    </xf>
  </cellXfs>
  <cellStyles count="9">
    <cellStyle name="Migliaia 2" xfId="8" xr:uid="{2FB0DCBB-4990-4098-A705-36E92A5B9D0C}"/>
    <cellStyle name="Milliers 2" xfId="5" xr:uid="{8DDCD00C-E342-4CD0-B019-368E763DCB22}"/>
    <cellStyle name="Normal" xfId="0" builtinId="0"/>
    <cellStyle name="Normal 2" xfId="4" xr:uid="{CC7AB829-7F0A-478A-8425-DE255683D75C}"/>
    <cellStyle name="Normal 9" xfId="6" xr:uid="{C31C52C0-6FC9-4458-AACE-E59F955AEECF}"/>
    <cellStyle name="Normale 2" xfId="2" xr:uid="{6166E0F5-BE04-44E0-B479-4B86D662B6F9}"/>
    <cellStyle name="Normale 4" xfId="1" xr:uid="{0258941E-ECD5-4FB1-A214-C7CDDB379112}"/>
    <cellStyle name="Percentuale 2" xfId="7" xr:uid="{D7E0AED3-F475-45DF-8631-75D0486392B4}"/>
    <cellStyle name="Pourcentage 2" xfId="3" xr:uid="{36E6DAFC-12C7-42D6-851C-7E234A37A717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customschemas.google.com/relationships/workbookmetadata" Target="metadata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SINTESI!$B$10</c:f>
              <c:strCache>
                <c:ptCount val="1"/>
                <c:pt idx="0">
                  <c:v>GLOBAL REVENUE</c:v>
                </c:pt>
              </c:strCache>
            </c:strRef>
          </c:tx>
          <c:invertIfNegative val="0"/>
          <c:val>
            <c:numRef>
              <c:f>SINTESI!$K$10:$O$10</c:f>
              <c:numCache>
                <c:formatCode>#,##0</c:formatCode>
                <c:ptCount val="5"/>
                <c:pt idx="0">
                  <c:v>6480000</c:v>
                </c:pt>
                <c:pt idx="1">
                  <c:v>14129099.999999998</c:v>
                </c:pt>
                <c:pt idx="2">
                  <c:v>16954919.999999996</c:v>
                </c:pt>
                <c:pt idx="3">
                  <c:v>22041395.999999996</c:v>
                </c:pt>
                <c:pt idx="4">
                  <c:v>28653814.799999997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39A-B3A2-EB47B7A83368}"/>
            </c:ext>
          </c:extLst>
        </c:ser>
        <c:ser>
          <c:idx val="4"/>
          <c:order val="1"/>
          <c:tx>
            <c:strRef>
              <c:f>SINTESI!$B$14</c:f>
              <c:strCache>
                <c:ptCount val="1"/>
                <c:pt idx="0">
                  <c:v>Affiliés without car</c:v>
                </c:pt>
              </c:strCache>
            </c:strRef>
          </c:tx>
          <c:invertIfNegative val="0"/>
          <c:val>
            <c:numRef>
              <c:f>SINTESI!$K$14:$O$14</c:f>
            </c:numRef>
          </c:val>
          <c:extLst>
            <c:ext xmlns:c16="http://schemas.microsoft.com/office/drawing/2014/chart" uri="{C3380CC4-5D6E-409C-BE32-E72D297353CC}">
              <c16:uniqueId val="{00000001-3733-439A-B3A2-EB47B7A83368}"/>
            </c:ext>
          </c:extLst>
        </c:ser>
        <c:ser>
          <c:idx val="0"/>
          <c:order val="2"/>
          <c:tx>
            <c:strRef>
              <c:f>SINTESI!$B$16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val>
            <c:numRef>
              <c:f>SINTESI!$K$16:$O$16</c:f>
            </c:numRef>
          </c:val>
          <c:extLst>
            <c:ext xmlns:c16="http://schemas.microsoft.com/office/drawing/2014/chart" uri="{C3380CC4-5D6E-409C-BE32-E72D297353CC}">
              <c16:uniqueId val="{00000002-3733-439A-B3A2-EB47B7A83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63648"/>
        <c:axId val="55729472"/>
      </c:barChart>
      <c:catAx>
        <c:axId val="1247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729472"/>
        <c:crosses val="autoZero"/>
        <c:auto val="1"/>
        <c:lblAlgn val="ctr"/>
        <c:lblOffset val="100"/>
        <c:noMultiLvlLbl val="0"/>
      </c:catAx>
      <c:valAx>
        <c:axId val="557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6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/>
              <a:t>FINANCIALS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SINTESI!$B$21</c:f>
              <c:strCache>
                <c:ptCount val="1"/>
                <c:pt idx="0">
                  <c:v>Total revenues (VAT)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SINTESI!$J$1:$O$1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SINTESI!$J$21:$O$21</c:f>
              <c:numCache>
                <c:formatCode>#,##0</c:formatCode>
                <c:ptCount val="6"/>
                <c:pt idx="1">
                  <c:v>6480000</c:v>
                </c:pt>
                <c:pt idx="2">
                  <c:v>14129099.999999998</c:v>
                </c:pt>
                <c:pt idx="3">
                  <c:v>16954919.999999996</c:v>
                </c:pt>
                <c:pt idx="4">
                  <c:v>22041395.999999996</c:v>
                </c:pt>
                <c:pt idx="5">
                  <c:v>28653814.799999997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5-4C96-B4E1-D6C994155B32}"/>
            </c:ext>
          </c:extLst>
        </c:ser>
        <c:ser>
          <c:idx val="1"/>
          <c:order val="1"/>
          <c:tx>
            <c:strRef>
              <c:f>SINTESI!$B$46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SINTESI!$J$1:$O$1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SINTESI!$J$46:$O$46</c:f>
              <c:numCache>
                <c:formatCode>#,##0_);\(#,##0\)</c:formatCode>
                <c:ptCount val="6"/>
                <c:pt idx="1">
                  <c:v>-36580</c:v>
                </c:pt>
                <c:pt idx="2">
                  <c:v>4512929.9999999981</c:v>
                </c:pt>
                <c:pt idx="3">
                  <c:v>5775583.9999999981</c:v>
                </c:pt>
                <c:pt idx="4">
                  <c:v>8350709.1999999955</c:v>
                </c:pt>
                <c:pt idx="5">
                  <c:v>11790008.959999999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5-4C96-B4E1-D6C994155B32}"/>
            </c:ext>
          </c:extLst>
        </c:ser>
        <c:ser>
          <c:idx val="2"/>
          <c:order val="2"/>
          <c:tx>
            <c:strRef>
              <c:f>SINTESI!$B$82</c:f>
              <c:strCache>
                <c:ptCount val="1"/>
                <c:pt idx="0">
                  <c:v>Capex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SINTESI!$J$1:$O$1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SINTESI!$J$82:$O$82</c:f>
              <c:numCache>
                <c:formatCode>_(* #\ ##0_);_(* \(#\ ##0\);_(* "-"??_);_(@_)</c:formatCode>
                <c:ptCount val="6"/>
                <c:pt idx="2">
                  <c:v>-109500</c:v>
                </c:pt>
                <c:pt idx="3">
                  <c:v>-132000</c:v>
                </c:pt>
                <c:pt idx="4">
                  <c:v>-152000</c:v>
                </c:pt>
                <c:pt idx="5">
                  <c:v>-172000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5-4C96-B4E1-D6C994155B32}"/>
            </c:ext>
          </c:extLst>
        </c:ser>
        <c:ser>
          <c:idx val="3"/>
          <c:order val="3"/>
          <c:tx>
            <c:strRef>
              <c:f>SINTESI!$B$92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SINTESI!$J$1:$O$1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SINTESI!$J$92:$O$92</c:f>
              <c:numCache>
                <c:formatCode>#\ ##0_ ;[Red]\-#\ ##0\ </c:formatCode>
                <c:ptCount val="6"/>
                <c:pt idx="0">
                  <c:v>10000</c:v>
                </c:pt>
                <c:pt idx="1">
                  <c:v>169421.42465753423</c:v>
                </c:pt>
                <c:pt idx="2">
                  <c:v>4287902.4999999991</c:v>
                </c:pt>
                <c:pt idx="3">
                  <c:v>3671199.3643835606</c:v>
                </c:pt>
                <c:pt idx="4">
                  <c:v>5327293.9549771668</c:v>
                </c:pt>
                <c:pt idx="5">
                  <c:v>7542862.7663561627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5-4C96-B4E1-D6C994155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079424"/>
        <c:axId val="134579904"/>
      </c:barChart>
      <c:catAx>
        <c:axId val="1350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579904"/>
        <c:crosses val="autoZero"/>
        <c:auto val="1"/>
        <c:lblAlgn val="ctr"/>
        <c:lblOffset val="100"/>
        <c:noMultiLvlLbl val="0"/>
      </c:catAx>
      <c:valAx>
        <c:axId val="13457990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07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>
        <c:manualLayout>
          <c:xMode val="edge"/>
          <c:yMode val="edge"/>
          <c:x val="9.1034296845879395E-2"/>
          <c:y val="7.2134965163398707E-2"/>
          <c:w val="0.83874181295372696"/>
          <c:h val="0.69879628402765204"/>
        </c:manualLayout>
      </c:layout>
      <c:scatterChart>
        <c:scatterStyle val="lineMarker"/>
        <c:varyColors val="0"/>
        <c:ser>
          <c:idx val="0"/>
          <c:order val="0"/>
          <c:tx>
            <c:v>B (Kg)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'BP Spirulina'!$D$269:$D$275</c:f>
            </c:numRef>
          </c:xVal>
          <c:yVal>
            <c:numRef>
              <c:f>'BP Spirulina'!$H$269:$H$275</c:f>
              <c:numCache>
                <c:formatCode>#,##0.00</c:formatCode>
                <c:ptCount val="7"/>
                <c:pt idx="0">
                  <c:v>7.4999999999999997E-2</c:v>
                </c:pt>
                <c:pt idx="1">
                  <c:v>5.7000000000000002E-2</c:v>
                </c:pt>
                <c:pt idx="2">
                  <c:v>5.106923076923077E-2</c:v>
                </c:pt>
                <c:pt idx="3">
                  <c:v>3.3576000000000002E-2</c:v>
                </c:pt>
                <c:pt idx="4">
                  <c:v>3.7292688461538465E-2</c:v>
                </c:pt>
                <c:pt idx="5">
                  <c:v>4.0176076923076925E-2</c:v>
                </c:pt>
                <c:pt idx="6">
                  <c:v>2.2265142857142855E-2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C9-4476-A89C-0B5E4ACEB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72103"/>
        <c:axId val="411071489"/>
      </c:scatterChart>
      <c:valAx>
        <c:axId val="402472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11071489"/>
        <c:crosses val="autoZero"/>
        <c:crossBetween val="midCat"/>
      </c:valAx>
      <c:valAx>
        <c:axId val="411071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0247210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684671</xdr:colOff>
      <xdr:row>42</xdr:row>
      <xdr:rowOff>81280</xdr:rowOff>
    </xdr:from>
    <xdr:to>
      <xdr:col>26</xdr:col>
      <xdr:colOff>300285</xdr:colOff>
      <xdr:row>68</xdr:row>
      <xdr:rowOff>20319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F9199EE-B0C1-4264-B440-9ADF958F4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529926</xdr:colOff>
      <xdr:row>0</xdr:row>
      <xdr:rowOff>119108</xdr:rowOff>
    </xdr:from>
    <xdr:to>
      <xdr:col>26</xdr:col>
      <xdr:colOff>247140</xdr:colOff>
      <xdr:row>42</xdr:row>
      <xdr:rowOff>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CF9518CF-CDBF-4B42-A0AC-4C3FE4798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0.15938</cdr:x>
      <cdr:y>0.10667</cdr:y>
    </cdr:from>
    <cdr:to>
      <cdr:x>0.86185</cdr:x>
      <cdr:y>0.69559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C8BCD91B-5D38-45BA-AF84-F79B4D2EEA5C}"/>
            </a:ext>
          </a:extLst>
        </cdr:cNvPr>
        <cdr:cNvCxnSpPr/>
      </cdr:nvCxnSpPr>
      <cdr:spPr>
        <a:xfrm xmlns:a="http://schemas.openxmlformats.org/drawingml/2006/main" flipV="1">
          <a:off x="638797" y="304800"/>
          <a:ext cx="2815603" cy="168285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2">
              <a:lumMod val="1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0.22307</cdr:x>
      <cdr:y>0.51333</cdr:y>
    </cdr:from>
    <cdr:to>
      <cdr:x>0.92681</cdr:x>
      <cdr:y>0.7903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555CCF00-2348-44D9-9846-F6612DD630E8}"/>
            </a:ext>
          </a:extLst>
        </cdr:cNvPr>
        <cdr:cNvCxnSpPr/>
      </cdr:nvCxnSpPr>
      <cdr:spPr>
        <a:xfrm xmlns:a="http://schemas.openxmlformats.org/drawingml/2006/main" flipV="1">
          <a:off x="894097" y="1466850"/>
          <a:ext cx="2820653" cy="79142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2">
              <a:lumMod val="1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0.19645</cdr:x>
      <cdr:y>0.2696</cdr:y>
    </cdr:from>
    <cdr:to>
      <cdr:x>0.89195</cdr:x>
      <cdr:y>0.79333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D04DEE04-E533-4BCA-B85E-2CD524779D31}"/>
            </a:ext>
          </a:extLst>
        </cdr:cNvPr>
        <cdr:cNvCxnSpPr/>
      </cdr:nvCxnSpPr>
      <cdr:spPr>
        <a:xfrm xmlns:a="http://schemas.openxmlformats.org/drawingml/2006/main" flipV="1">
          <a:off x="787400" y="770396"/>
          <a:ext cx="2787648" cy="149655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2">
              <a:lumMod val="1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0.33034</cdr:x>
      <cdr:y>0.45826</cdr:y>
    </cdr:from>
    <cdr:to>
      <cdr:x>0.77049</cdr:x>
      <cdr:y>0.51753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D95A2503-561C-4728-840B-59EC8F0E6B21}"/>
            </a:ext>
          </a:extLst>
        </cdr:cNvPr>
        <cdr:cNvSpPr txBox="1"/>
      </cdr:nvSpPr>
      <cdr:spPr>
        <a:xfrm xmlns:a="http://schemas.openxmlformats.org/drawingml/2006/main" rot="19882586">
          <a:off x="1324023" y="1291447"/>
          <a:ext cx="1764174" cy="167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B2C 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CAGR +18%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0.31481</cdr:x>
      <cdr:y>0.34439</cdr:y>
    </cdr:from>
    <cdr:to>
      <cdr:x>0.67264</cdr:x>
      <cdr:y>0.39725</cdr:y>
    </cdr:to>
    <cdr:sp macro="" textlink="">
      <cdr:nvSpPr>
        <cdr:cNvPr id="9" name="TextBox 2">
          <a:extLst xmlns:a="http://schemas.openxmlformats.org/drawingml/2006/main">
            <a:ext uri="{FF2B5EF4-FFF2-40B4-BE49-F238E27FC236}">
              <a16:creationId xmlns:a16="http://schemas.microsoft.com/office/drawing/2014/main" id="{D95A2503-561C-4728-840B-59EC8F0E6B21}"/>
            </a:ext>
          </a:extLst>
        </cdr:cNvPr>
        <cdr:cNvSpPr txBox="1"/>
      </cdr:nvSpPr>
      <cdr:spPr>
        <a:xfrm xmlns:a="http://schemas.openxmlformats.org/drawingml/2006/main" rot="19764707">
          <a:off x="1261814" y="984085"/>
          <a:ext cx="1434225" cy="151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B2B 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CAGR +12%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0.39409</cdr:x>
      <cdr:y>0.58983</cdr:y>
    </cdr:from>
    <cdr:to>
      <cdr:x>0.81264</cdr:x>
      <cdr:y>0.63707</cdr:y>
    </cdr:to>
    <cdr:sp macro="" textlink="">
      <cdr:nvSpPr>
        <cdr:cNvPr id="10" name="TextBox 3">
          <a:extLst xmlns:a="http://schemas.openxmlformats.org/drawingml/2006/main">
            <a:ext uri="{FF2B5EF4-FFF2-40B4-BE49-F238E27FC236}">
              <a16:creationId xmlns:a16="http://schemas.microsoft.com/office/drawing/2014/main" id="{8777FD6B-4C5B-482D-BFA3-98BF550F088E}"/>
            </a:ext>
          </a:extLst>
        </cdr:cNvPr>
        <cdr:cNvSpPr txBox="1"/>
      </cdr:nvSpPr>
      <cdr:spPr>
        <a:xfrm xmlns:a="http://schemas.openxmlformats.org/drawingml/2006/main" rot="20637172">
          <a:off x="1579555" y="1662228"/>
          <a:ext cx="1677599" cy="133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RoyaltiesCAGR +29%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400050</xdr:colOff>
      <xdr:row>266</xdr:row>
      <xdr:rowOff>28575</xdr:rowOff>
    </xdr:from>
    <xdr:ext cx="4972050" cy="2009775"/>
    <xdr:graphicFrame macro="">
      <xdr:nvGraphicFramePr>
        <xdr:cNvPr id="829095187" name="Chart 1">
          <a:extLst>
            <a:ext uri="{FF2B5EF4-FFF2-40B4-BE49-F238E27FC236}">
              <a16:creationId xmlns:a16="http://schemas.microsoft.com/office/drawing/2014/main" id="{00000000-0008-0000-0700-000013FD6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152400</xdr:colOff>
      <xdr:row>230</xdr:row>
      <xdr:rowOff>38100</xdr:rowOff>
    </xdr:from>
    <xdr:ext cx="114300" cy="28098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5226050" y="39471600"/>
          <a:ext cx="114300" cy="2809875"/>
          <a:chOff x="3950588" y="3732375"/>
          <a:chExt cx="2790825" cy="9525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/>
        </xdr:nvCxnSpPr>
        <xdr:spPr>
          <a:xfrm rot="5400000">
            <a:off x="3950588" y="3732375"/>
            <a:ext cx="2790825" cy="95250"/>
          </a:xfrm>
          <a:prstGeom prst="bentConnector3">
            <a:avLst>
              <a:gd name="adj1" fmla="val 50000"/>
            </a:avLst>
          </a:prstGeom>
          <a:noFill/>
          <a:ln w="25400" cap="flat" cmpd="sng">
            <a:solidFill>
              <a:srgbClr val="E36C09"/>
            </a:solidFill>
            <a:prstDash val="solid"/>
            <a:round/>
            <a:headEnd type="triangle" w="med" len="med"/>
            <a:tailEnd type="triangle" w="med" len="med"/>
          </a:ln>
        </xdr:spPr>
      </xdr:cxn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uidozacchicossetti\1.Lavoro\Enerwave\EnergiaLevante\Report\EL%202009-1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63ea595fd92212/Soci&#233;t&#233;s/LEON/Business%20Plan%20LEON%20March%202024%20v3.xlsx" TargetMode="External"/><Relationship Id="rId1" Type="http://schemas.openxmlformats.org/officeDocument/2006/relationships/externalLinkPath" Target="Business%20Plan%20LEON%20March%202024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EL 2009-03-06"/>
      <sheetName val="BDG'09 EL 2009-05-14"/>
      <sheetName val="ACTvsBDG EL 2009"/>
      <sheetName val="Commesse INV"/>
      <sheetName val="Conti"/>
    </sheetNames>
    <sheetDataSet>
      <sheetData sheetId="0" refreshError="1"/>
      <sheetData sheetId="1" refreshError="1"/>
      <sheetData sheetId="2">
        <row r="1">
          <cell r="AH1">
            <v>12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éhicules"/>
      <sheetName val="Vehicule (2)"/>
      <sheetName val="Modèle de plan de trésorerie"/>
      <sheetName val="LAUNCH 12 months"/>
      <sheetName val="assumptions (2)"/>
      <sheetName val="BP Spiru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17">
          <cell r="H417">
            <v>307.40000000000003</v>
          </cell>
          <cell r="I417">
            <v>739.5</v>
          </cell>
          <cell r="J417">
            <v>981.09720000000004</v>
          </cell>
          <cell r="K417">
            <v>1409.284224</v>
          </cell>
          <cell r="L417">
            <v>1813.0738680000002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essandro borelli" id="{B1E4E27D-8106-4536-84D5-580FA410FE9A}" userId="0b97e5dcd0660e4b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9" dT="2023-01-20T14:56:39.83" personId="{B1E4E27D-8106-4536-84D5-580FA410FE9A}" id="{54960D34-EE57-4E67-A9B9-35D735DFC5F2}">
    <text>Check proprtion</text>
  </threadedComment>
  <threadedComment ref="O42" dT="2023-01-20T14:57:10.60" personId="{B1E4E27D-8106-4536-84D5-580FA410FE9A}" id="{BECE8F36-DA2F-4972-BDEE-7DA746272B41}">
    <text>Check proportion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3ECD-5E64-44EC-B1FE-B5564C1CF1FC}">
  <sheetPr>
    <pageSetUpPr fitToPage="1"/>
  </sheetPr>
  <dimension ref="A1:N1001"/>
  <sheetViews>
    <sheetView zoomScale="70" zoomScaleNormal="70" workbookViewId="0">
      <selection activeCell="I45" sqref="I45"/>
    </sheetView>
  </sheetViews>
  <sheetFormatPr baseColWidth="10" defaultColWidth="11.23046875" defaultRowHeight="15" customHeight="1" outlineLevelRow="1" x14ac:dyDescent="0.3"/>
  <cols>
    <col min="1" max="1" width="1.53515625" customWidth="1"/>
    <col min="2" max="2" width="64.4609375" customWidth="1"/>
    <col min="3" max="5" width="23.765625" customWidth="1"/>
    <col min="6" max="7" width="29.15234375" customWidth="1"/>
  </cols>
  <sheetData>
    <row r="1" spans="1:7" ht="12.75" customHeight="1" x14ac:dyDescent="0.3">
      <c r="A1" s="1"/>
      <c r="B1" s="1"/>
      <c r="C1" s="4"/>
      <c r="D1" s="4"/>
      <c r="E1" s="4"/>
      <c r="F1" s="4"/>
      <c r="G1" s="4"/>
    </row>
    <row r="2" spans="1:7" ht="12.75" customHeight="1" x14ac:dyDescent="0.3">
      <c r="A2" s="1"/>
      <c r="B2" s="1"/>
      <c r="C2" s="4"/>
      <c r="D2" s="4"/>
      <c r="E2" s="4"/>
      <c r="F2" s="4"/>
      <c r="G2" s="4"/>
    </row>
    <row r="3" spans="1:7" ht="12.75" customHeight="1" x14ac:dyDescent="0.3">
      <c r="A3" s="2"/>
      <c r="B3" s="2"/>
      <c r="C3" s="5"/>
      <c r="D3" s="5"/>
      <c r="E3" s="5"/>
      <c r="F3" s="5"/>
      <c r="G3" s="5"/>
    </row>
    <row r="4" spans="1:7" ht="12.75" customHeight="1" x14ac:dyDescent="0.3">
      <c r="A4" s="2"/>
      <c r="B4" s="2"/>
      <c r="C4" s="5"/>
      <c r="D4" s="5"/>
      <c r="E4" s="5"/>
      <c r="F4" s="5"/>
      <c r="G4" s="5"/>
    </row>
    <row r="5" spans="1:7" ht="24.75" customHeight="1" x14ac:dyDescent="0.35">
      <c r="A5" s="2"/>
      <c r="B5" s="6" t="s">
        <v>0</v>
      </c>
      <c r="C5" s="5"/>
      <c r="D5" s="5"/>
      <c r="E5" s="5"/>
      <c r="F5" s="5"/>
      <c r="G5" s="5"/>
    </row>
    <row r="6" spans="1:7" ht="12.75" customHeight="1" x14ac:dyDescent="0.35">
      <c r="A6" s="2"/>
      <c r="B6" s="244"/>
      <c r="C6" s="4"/>
      <c r="D6" s="4"/>
      <c r="E6" s="4"/>
      <c r="F6" s="4"/>
      <c r="G6" s="4"/>
    </row>
    <row r="7" spans="1:7" ht="12.75" customHeight="1" thickBot="1" x14ac:dyDescent="0.35">
      <c r="A7" s="2"/>
      <c r="B7" s="2"/>
      <c r="C7" s="5"/>
      <c r="D7" s="5"/>
      <c r="E7" s="5"/>
      <c r="F7" s="5"/>
      <c r="G7" s="5"/>
    </row>
    <row r="8" spans="1:7" ht="12.75" customHeight="1" thickBot="1" x14ac:dyDescent="0.35">
      <c r="A8" s="2"/>
      <c r="B8" s="7" t="s">
        <v>1</v>
      </c>
      <c r="C8" s="8" t="s">
        <v>2</v>
      </c>
      <c r="D8" s="8" t="s">
        <v>600</v>
      </c>
      <c r="E8" s="8" t="s">
        <v>601</v>
      </c>
      <c r="F8" s="8" t="s">
        <v>602</v>
      </c>
      <c r="G8" s="8" t="s">
        <v>824</v>
      </c>
    </row>
    <row r="9" spans="1:7" ht="12.75" customHeight="1" x14ac:dyDescent="0.3">
      <c r="A9" s="2"/>
      <c r="B9" s="500"/>
      <c r="C9" s="501"/>
      <c r="D9" s="9"/>
      <c r="E9" s="9"/>
      <c r="F9" s="9"/>
      <c r="G9" s="9"/>
    </row>
    <row r="10" spans="1:7" ht="12.75" customHeight="1" outlineLevel="1" x14ac:dyDescent="0.3">
      <c r="A10" s="2"/>
      <c r="B10" s="242" t="s">
        <v>604</v>
      </c>
      <c r="C10" s="245">
        <v>5200</v>
      </c>
      <c r="D10" s="246">
        <v>7600</v>
      </c>
      <c r="E10" s="246">
        <v>10000</v>
      </c>
      <c r="F10" s="246">
        <v>12400</v>
      </c>
      <c r="G10" s="246">
        <v>12401</v>
      </c>
    </row>
    <row r="11" spans="1:7" ht="12.75" customHeight="1" outlineLevel="1" x14ac:dyDescent="0.3">
      <c r="A11" s="2"/>
      <c r="B11" s="10" t="s">
        <v>603</v>
      </c>
      <c r="C11" s="247">
        <v>650</v>
      </c>
      <c r="D11" s="247">
        <v>663</v>
      </c>
      <c r="E11" s="247">
        <v>679.43956043955995</v>
      </c>
      <c r="F11" s="247">
        <v>679.43956043955995</v>
      </c>
      <c r="G11" s="247">
        <v>680.43956043955995</v>
      </c>
    </row>
    <row r="12" spans="1:7" ht="12.75" customHeight="1" outlineLevel="1" x14ac:dyDescent="0.3">
      <c r="A12" s="2"/>
      <c r="B12" s="10" t="s">
        <v>3</v>
      </c>
      <c r="C12" s="248">
        <v>69.869822485207109</v>
      </c>
      <c r="D12" s="248">
        <v>124.40236686390534</v>
      </c>
      <c r="E12" s="248">
        <v>124.40236686390534</v>
      </c>
      <c r="F12" s="248">
        <v>124.40236686390534</v>
      </c>
      <c r="G12" s="248">
        <v>125.402366863905</v>
      </c>
    </row>
    <row r="13" spans="1:7" ht="12.75" customHeight="1" outlineLevel="1" x14ac:dyDescent="0.3">
      <c r="A13" s="2"/>
      <c r="B13" s="10" t="s">
        <v>4</v>
      </c>
      <c r="C13" s="246">
        <v>41</v>
      </c>
      <c r="D13" s="246">
        <v>73</v>
      </c>
      <c r="E13" s="246">
        <v>73</v>
      </c>
      <c r="F13" s="246">
        <v>73</v>
      </c>
      <c r="G13" s="246">
        <v>74</v>
      </c>
    </row>
    <row r="14" spans="1:7" ht="12.75" customHeight="1" outlineLevel="1" x14ac:dyDescent="0.3">
      <c r="A14" s="2"/>
      <c r="B14" s="10" t="s">
        <v>5</v>
      </c>
      <c r="C14" s="248">
        <v>49846.153846153829</v>
      </c>
      <c r="D14" s="248">
        <v>131687.30769230766</v>
      </c>
      <c r="E14" s="248">
        <v>131687.30769230766</v>
      </c>
      <c r="F14" s="248">
        <v>131687.30769230766</v>
      </c>
      <c r="G14" s="248">
        <v>131688.30769230801</v>
      </c>
    </row>
    <row r="15" spans="1:7" ht="12.75" customHeight="1" x14ac:dyDescent="0.3">
      <c r="A15" s="2"/>
      <c r="B15" s="11" t="s">
        <v>6</v>
      </c>
      <c r="C15" s="243">
        <v>1052895.1999999993</v>
      </c>
      <c r="D15" s="241">
        <v>4537522.3999999985</v>
      </c>
      <c r="E15" s="241">
        <v>8022149.5999999978</v>
      </c>
      <c r="F15" s="241">
        <v>11506776.799999997</v>
      </c>
      <c r="G15" s="241">
        <v>11506777.800000001</v>
      </c>
    </row>
    <row r="16" spans="1:7" ht="12.75" customHeight="1" x14ac:dyDescent="0.3">
      <c r="A16" s="2"/>
      <c r="B16" s="12" t="s">
        <v>7</v>
      </c>
      <c r="C16" s="23"/>
      <c r="D16" s="23"/>
      <c r="E16" s="23"/>
      <c r="F16" s="23"/>
      <c r="G16" s="23"/>
    </row>
    <row r="17" spans="1:7" ht="12.75" customHeight="1" x14ac:dyDescent="0.3">
      <c r="A17" s="2"/>
      <c r="B17" s="14" t="s">
        <v>8</v>
      </c>
      <c r="C17" s="13"/>
      <c r="D17" s="13"/>
      <c r="E17" s="13"/>
      <c r="F17" s="13"/>
      <c r="G17" s="13"/>
    </row>
    <row r="18" spans="1:7" ht="12.75" customHeight="1" x14ac:dyDescent="0.3">
      <c r="A18" s="2"/>
      <c r="B18" s="463" t="s">
        <v>9</v>
      </c>
      <c r="C18" s="464">
        <v>6480000</v>
      </c>
      <c r="D18" s="464">
        <v>14129099.999999998</v>
      </c>
      <c r="E18" s="464">
        <f>D18*1.2</f>
        <v>16954919.999999996</v>
      </c>
      <c r="F18" s="464">
        <f>E18*1.3</f>
        <v>22041395.999999996</v>
      </c>
      <c r="G18" s="464">
        <f>F18*1.3</f>
        <v>28653814.799999997</v>
      </c>
    </row>
    <row r="19" spans="1:7" ht="12.75" customHeight="1" x14ac:dyDescent="0.3">
      <c r="A19" s="2"/>
      <c r="B19" s="17" t="s">
        <v>10</v>
      </c>
      <c r="C19" s="249">
        <v>0</v>
      </c>
      <c r="D19" s="249">
        <v>0</v>
      </c>
      <c r="E19" s="249">
        <v>0</v>
      </c>
      <c r="F19" s="249">
        <v>0</v>
      </c>
      <c r="G19" s="249">
        <v>1</v>
      </c>
    </row>
    <row r="20" spans="1:7" ht="12.75" customHeight="1" x14ac:dyDescent="0.3">
      <c r="A20" s="2"/>
      <c r="B20" s="18" t="s">
        <v>11</v>
      </c>
      <c r="C20" s="250"/>
      <c r="D20" s="250"/>
      <c r="E20" s="250"/>
      <c r="F20" s="250"/>
      <c r="G20" s="250"/>
    </row>
    <row r="21" spans="1:7" ht="12.75" customHeight="1" x14ac:dyDescent="0.3">
      <c r="A21" s="2"/>
      <c r="B21" s="17" t="s">
        <v>12</v>
      </c>
      <c r="C21" s="249">
        <v>1900000</v>
      </c>
      <c r="D21" s="249">
        <v>0</v>
      </c>
      <c r="E21" s="249">
        <v>0</v>
      </c>
      <c r="F21" s="249">
        <v>0</v>
      </c>
      <c r="G21" s="249">
        <v>1</v>
      </c>
    </row>
    <row r="22" spans="1:7" ht="12.75" customHeight="1" x14ac:dyDescent="0.3">
      <c r="A22" s="2"/>
      <c r="B22" s="15" t="s">
        <v>13</v>
      </c>
      <c r="C22" s="249">
        <v>0</v>
      </c>
      <c r="D22" s="249">
        <v>0</v>
      </c>
      <c r="E22" s="249">
        <v>0</v>
      </c>
      <c r="F22" s="249">
        <v>0</v>
      </c>
      <c r="G22" s="249">
        <v>1</v>
      </c>
    </row>
    <row r="23" spans="1:7" ht="12.75" customHeight="1" x14ac:dyDescent="0.3">
      <c r="A23" s="2"/>
      <c r="B23" s="15" t="s">
        <v>14</v>
      </c>
      <c r="C23" s="16">
        <v>0</v>
      </c>
      <c r="D23" s="16">
        <v>0</v>
      </c>
      <c r="E23" s="16">
        <v>0</v>
      </c>
      <c r="F23" s="16">
        <v>0</v>
      </c>
      <c r="G23" s="16">
        <v>1</v>
      </c>
    </row>
    <row r="24" spans="1:7" ht="12.75" customHeight="1" thickBot="1" x14ac:dyDescent="0.35">
      <c r="A24" s="2"/>
      <c r="B24" s="17" t="s">
        <v>15</v>
      </c>
      <c r="C24" s="16">
        <v>0</v>
      </c>
      <c r="D24" s="16">
        <v>0</v>
      </c>
      <c r="E24" s="16">
        <v>0</v>
      </c>
      <c r="F24" s="16">
        <v>0</v>
      </c>
      <c r="G24" s="16">
        <v>1</v>
      </c>
    </row>
    <row r="25" spans="1:7" ht="12.75" customHeight="1" thickBot="1" x14ac:dyDescent="0.35">
      <c r="A25" s="2"/>
      <c r="B25" s="20" t="s">
        <v>16</v>
      </c>
      <c r="C25" s="21">
        <f>C18+C21</f>
        <v>8380000</v>
      </c>
      <c r="D25" s="21">
        <f t="shared" ref="D25:F25" si="0">D18+D21</f>
        <v>14129099.999999998</v>
      </c>
      <c r="E25" s="21">
        <f t="shared" si="0"/>
        <v>16954919.999999996</v>
      </c>
      <c r="F25" s="21">
        <f t="shared" si="0"/>
        <v>22041395.999999996</v>
      </c>
      <c r="G25" s="21">
        <f t="shared" ref="G25" si="1">G18+G21</f>
        <v>28653815.799999997</v>
      </c>
    </row>
    <row r="26" spans="1:7" ht="12.75" customHeight="1" x14ac:dyDescent="0.3">
      <c r="A26" s="2"/>
      <c r="B26" s="22" t="s">
        <v>17</v>
      </c>
      <c r="C26" s="23"/>
      <c r="D26" s="23"/>
      <c r="E26" s="23"/>
      <c r="F26" s="23"/>
      <c r="G26" s="23"/>
    </row>
    <row r="27" spans="1:7" ht="12.75" customHeight="1" x14ac:dyDescent="0.3">
      <c r="A27" s="2"/>
      <c r="B27" s="18" t="s">
        <v>18</v>
      </c>
      <c r="C27" s="19"/>
      <c r="D27" s="19"/>
      <c r="E27" s="19"/>
      <c r="F27" s="19"/>
      <c r="G27" s="19"/>
    </row>
    <row r="28" spans="1:7" ht="12.75" customHeight="1" x14ac:dyDescent="0.3">
      <c r="A28" s="2"/>
      <c r="B28" s="10" t="s">
        <v>19</v>
      </c>
      <c r="C28" s="497">
        <v>1853856</v>
      </c>
      <c r="D28" s="497">
        <v>3882816</v>
      </c>
      <c r="E28" s="497">
        <f>D28*1.2</f>
        <v>4659379.2</v>
      </c>
      <c r="F28" s="497">
        <f t="shared" ref="F28:G30" si="2">E28*1.3</f>
        <v>6057192.9600000009</v>
      </c>
      <c r="G28" s="497">
        <f t="shared" si="2"/>
        <v>7874350.8480000012</v>
      </c>
    </row>
    <row r="29" spans="1:7" ht="12.75" customHeight="1" x14ac:dyDescent="0.3">
      <c r="A29" s="2"/>
      <c r="B29" s="17" t="s">
        <v>20</v>
      </c>
      <c r="C29" s="497">
        <v>967200</v>
      </c>
      <c r="D29" s="497">
        <v>806000</v>
      </c>
      <c r="E29" s="497">
        <f>D29*1.2</f>
        <v>967200</v>
      </c>
      <c r="F29" s="497">
        <f t="shared" si="2"/>
        <v>1257360</v>
      </c>
      <c r="G29" s="497">
        <f t="shared" si="2"/>
        <v>1634568</v>
      </c>
    </row>
    <row r="30" spans="1:7" ht="12.75" customHeight="1" x14ac:dyDescent="0.3">
      <c r="A30" s="2"/>
      <c r="B30" s="15" t="s">
        <v>21</v>
      </c>
      <c r="C30" s="497">
        <v>331200</v>
      </c>
      <c r="D30" s="497">
        <v>360000</v>
      </c>
      <c r="E30" s="497">
        <f>D30*1.2</f>
        <v>432000</v>
      </c>
      <c r="F30" s="497">
        <f t="shared" si="2"/>
        <v>561600</v>
      </c>
      <c r="G30" s="497">
        <f t="shared" si="2"/>
        <v>730080</v>
      </c>
    </row>
    <row r="31" spans="1:7" ht="12.75" customHeight="1" x14ac:dyDescent="0.3">
      <c r="A31" s="2"/>
      <c r="B31" s="17" t="s">
        <v>22</v>
      </c>
      <c r="C31" s="497">
        <v>180000</v>
      </c>
      <c r="D31" s="497">
        <v>200000</v>
      </c>
      <c r="E31" s="497">
        <f>D31*1.05</f>
        <v>210000</v>
      </c>
      <c r="F31" s="497">
        <f>E31*1.05</f>
        <v>220500</v>
      </c>
      <c r="G31" s="497">
        <f>F31*1.05</f>
        <v>231525</v>
      </c>
    </row>
    <row r="32" spans="1:7" ht="12.75" customHeight="1" x14ac:dyDescent="0.3">
      <c r="A32" s="2"/>
      <c r="B32" s="17" t="s">
        <v>23</v>
      </c>
      <c r="C32" s="497">
        <v>60000</v>
      </c>
      <c r="D32" s="497">
        <v>70000</v>
      </c>
      <c r="E32" s="497">
        <f>D32*1.05</f>
        <v>73500</v>
      </c>
      <c r="F32" s="497">
        <v>70000</v>
      </c>
      <c r="G32" s="497">
        <v>70001</v>
      </c>
    </row>
    <row r="33" spans="1:7" ht="12.75" customHeight="1" x14ac:dyDescent="0.3">
      <c r="A33" s="2"/>
      <c r="B33" s="17" t="s">
        <v>24</v>
      </c>
      <c r="C33" s="497">
        <v>180000</v>
      </c>
      <c r="D33" s="497">
        <v>200000</v>
      </c>
      <c r="E33" s="497">
        <f>D33*1.05</f>
        <v>210000</v>
      </c>
      <c r="F33" s="497">
        <v>200000</v>
      </c>
      <c r="G33" s="497">
        <v>200001</v>
      </c>
    </row>
    <row r="34" spans="1:7" ht="12.75" customHeight="1" x14ac:dyDescent="0.3">
      <c r="A34" s="2"/>
      <c r="B34" s="25" t="s">
        <v>25</v>
      </c>
      <c r="C34" s="498">
        <f>SUM(C35:C38)</f>
        <v>216000</v>
      </c>
      <c r="D34" s="498">
        <f t="shared" ref="D34:G34" si="3">SUM(D35:D38)</f>
        <v>230000</v>
      </c>
      <c r="E34" s="498">
        <f t="shared" si="3"/>
        <v>250000</v>
      </c>
      <c r="F34" s="498">
        <f t="shared" si="3"/>
        <v>270000</v>
      </c>
      <c r="G34" s="498">
        <f t="shared" si="3"/>
        <v>270004</v>
      </c>
    </row>
    <row r="35" spans="1:7" ht="12.75" customHeight="1" outlineLevel="1" x14ac:dyDescent="0.3">
      <c r="A35" s="2"/>
      <c r="B35" s="26" t="s">
        <v>26</v>
      </c>
      <c r="C35" s="497">
        <v>36000</v>
      </c>
      <c r="D35" s="497">
        <v>40000</v>
      </c>
      <c r="E35" s="497">
        <v>45000</v>
      </c>
      <c r="F35" s="497">
        <v>50000</v>
      </c>
      <c r="G35" s="497">
        <v>50001</v>
      </c>
    </row>
    <row r="36" spans="1:7" ht="12.75" customHeight="1" outlineLevel="1" x14ac:dyDescent="0.3">
      <c r="A36" s="2"/>
      <c r="B36" s="26" t="s">
        <v>27</v>
      </c>
      <c r="C36" s="497">
        <v>60000</v>
      </c>
      <c r="D36" s="497">
        <v>70000</v>
      </c>
      <c r="E36" s="497">
        <v>75000</v>
      </c>
      <c r="F36" s="497">
        <v>80000</v>
      </c>
      <c r="G36" s="497">
        <v>80001</v>
      </c>
    </row>
    <row r="37" spans="1:7" ht="12.75" customHeight="1" outlineLevel="1" x14ac:dyDescent="0.3">
      <c r="A37" s="2"/>
      <c r="B37" s="26" t="s">
        <v>28</v>
      </c>
      <c r="C37" s="497">
        <v>48000</v>
      </c>
      <c r="D37" s="497">
        <v>50000</v>
      </c>
      <c r="E37" s="497">
        <v>55000</v>
      </c>
      <c r="F37" s="497">
        <v>60000</v>
      </c>
      <c r="G37" s="497">
        <v>60001</v>
      </c>
    </row>
    <row r="38" spans="1:7" ht="12.75" customHeight="1" outlineLevel="1" x14ac:dyDescent="0.3">
      <c r="A38" s="2"/>
      <c r="B38" s="26" t="s">
        <v>29</v>
      </c>
      <c r="C38" s="497">
        <v>72000</v>
      </c>
      <c r="D38" s="497">
        <v>70000</v>
      </c>
      <c r="E38" s="497">
        <v>75000</v>
      </c>
      <c r="F38" s="497">
        <v>80000</v>
      </c>
      <c r="G38" s="497">
        <v>80001</v>
      </c>
    </row>
    <row r="39" spans="1:7" ht="12.75" customHeight="1" x14ac:dyDescent="0.3">
      <c r="A39" s="2"/>
      <c r="B39" s="25" t="s">
        <v>30</v>
      </c>
      <c r="C39" s="498">
        <f>SUM(C40:C43)</f>
        <v>226000</v>
      </c>
      <c r="D39" s="498">
        <f t="shared" ref="D39:G39" si="4">SUM(D40:D43)</f>
        <v>220000</v>
      </c>
      <c r="E39" s="498">
        <f t="shared" si="4"/>
        <v>223000</v>
      </c>
      <c r="F39" s="498">
        <f t="shared" si="4"/>
        <v>226000</v>
      </c>
      <c r="G39" s="498">
        <f t="shared" si="4"/>
        <v>226004</v>
      </c>
    </row>
    <row r="40" spans="1:7" ht="12.75" customHeight="1" outlineLevel="1" x14ac:dyDescent="0.3">
      <c r="A40" s="2"/>
      <c r="B40" s="26" t="s">
        <v>31</v>
      </c>
      <c r="C40" s="497">
        <v>60000</v>
      </c>
      <c r="D40" s="497">
        <v>50000</v>
      </c>
      <c r="E40" s="497">
        <v>50000</v>
      </c>
      <c r="F40" s="497">
        <v>50000</v>
      </c>
      <c r="G40" s="497">
        <v>50001</v>
      </c>
    </row>
    <row r="41" spans="1:7" ht="12.75" customHeight="1" outlineLevel="1" x14ac:dyDescent="0.3">
      <c r="A41" s="2"/>
      <c r="B41" s="26" t="s">
        <v>32</v>
      </c>
      <c r="C41" s="497">
        <v>12000</v>
      </c>
      <c r="D41" s="497">
        <v>14000</v>
      </c>
      <c r="E41" s="497">
        <v>15000</v>
      </c>
      <c r="F41" s="497">
        <v>16000</v>
      </c>
      <c r="G41" s="497">
        <v>16001</v>
      </c>
    </row>
    <row r="42" spans="1:7" ht="12.75" customHeight="1" outlineLevel="1" x14ac:dyDescent="0.3">
      <c r="A42" s="2"/>
      <c r="B42" s="26" t="s">
        <v>33</v>
      </c>
      <c r="C42" s="497">
        <v>84000</v>
      </c>
      <c r="D42" s="497">
        <v>86000</v>
      </c>
      <c r="E42" s="497">
        <v>88000</v>
      </c>
      <c r="F42" s="497">
        <v>90000</v>
      </c>
      <c r="G42" s="497">
        <v>90001</v>
      </c>
    </row>
    <row r="43" spans="1:7" ht="12.75" customHeight="1" outlineLevel="1" x14ac:dyDescent="0.3">
      <c r="A43" s="2"/>
      <c r="B43" s="26" t="s">
        <v>34</v>
      </c>
      <c r="C43" s="497">
        <v>70000</v>
      </c>
      <c r="D43" s="497">
        <v>70000</v>
      </c>
      <c r="E43" s="497">
        <v>70000</v>
      </c>
      <c r="F43" s="497">
        <v>70000</v>
      </c>
      <c r="G43" s="497">
        <v>70001</v>
      </c>
    </row>
    <row r="44" spans="1:7" ht="12.75" customHeight="1" x14ac:dyDescent="0.3">
      <c r="A44" s="2"/>
      <c r="B44" s="17" t="s">
        <v>35</v>
      </c>
      <c r="C44" s="497">
        <v>6000</v>
      </c>
      <c r="D44" s="497">
        <v>7000</v>
      </c>
      <c r="E44" s="497">
        <v>8000</v>
      </c>
      <c r="F44" s="497">
        <v>8000</v>
      </c>
      <c r="G44" s="497">
        <v>8001</v>
      </c>
    </row>
    <row r="45" spans="1:7" ht="12.75" customHeight="1" x14ac:dyDescent="0.3">
      <c r="A45" s="2"/>
      <c r="B45" s="17" t="s">
        <v>36</v>
      </c>
      <c r="C45" s="497">
        <v>52000</v>
      </c>
      <c r="D45" s="497">
        <v>20000</v>
      </c>
      <c r="E45" s="497">
        <v>20000</v>
      </c>
      <c r="F45" s="497">
        <v>20000</v>
      </c>
      <c r="G45" s="497">
        <v>20001</v>
      </c>
    </row>
    <row r="46" spans="1:7" ht="12.75" customHeight="1" x14ac:dyDescent="0.3">
      <c r="A46" s="2"/>
      <c r="B46" s="17" t="s">
        <v>37</v>
      </c>
      <c r="C46" s="497">
        <v>36000</v>
      </c>
      <c r="D46" s="497">
        <v>37000</v>
      </c>
      <c r="E46" s="497">
        <v>38000</v>
      </c>
      <c r="F46" s="497">
        <v>39000</v>
      </c>
      <c r="G46" s="497">
        <v>39001</v>
      </c>
    </row>
    <row r="47" spans="1:7" ht="12.75" customHeight="1" x14ac:dyDescent="0.3">
      <c r="A47" s="2"/>
      <c r="B47" s="17" t="s">
        <v>38</v>
      </c>
      <c r="C47" s="497">
        <v>30000</v>
      </c>
      <c r="D47" s="497">
        <v>40000</v>
      </c>
      <c r="E47" s="497">
        <v>45000</v>
      </c>
      <c r="F47" s="497">
        <v>50000</v>
      </c>
      <c r="G47" s="497">
        <v>50001</v>
      </c>
    </row>
    <row r="48" spans="1:7" ht="12.75" customHeight="1" x14ac:dyDescent="0.3">
      <c r="A48" s="2"/>
      <c r="B48" s="17" t="s">
        <v>39</v>
      </c>
      <c r="C48" s="497">
        <v>130400</v>
      </c>
      <c r="D48" s="497">
        <v>276640</v>
      </c>
      <c r="E48" s="497">
        <v>290000</v>
      </c>
      <c r="F48" s="497">
        <v>310000</v>
      </c>
      <c r="G48" s="497">
        <v>310001</v>
      </c>
    </row>
    <row r="49" spans="1:11" ht="12.75" customHeight="1" x14ac:dyDescent="0.3">
      <c r="A49" s="2"/>
      <c r="B49" s="17" t="s">
        <v>40</v>
      </c>
      <c r="C49" s="497">
        <v>65200</v>
      </c>
      <c r="D49" s="497">
        <v>66000</v>
      </c>
      <c r="E49" s="497">
        <v>67000</v>
      </c>
      <c r="F49" s="497">
        <v>68000</v>
      </c>
      <c r="G49" s="497">
        <v>68001</v>
      </c>
    </row>
    <row r="50" spans="1:11" ht="12.75" customHeight="1" x14ac:dyDescent="0.3">
      <c r="A50" s="2"/>
      <c r="B50" s="17" t="s">
        <v>41</v>
      </c>
      <c r="C50" s="497">
        <v>24000</v>
      </c>
      <c r="D50" s="497">
        <v>15000</v>
      </c>
      <c r="E50" s="497">
        <v>5000</v>
      </c>
      <c r="F50" s="497">
        <v>5000</v>
      </c>
      <c r="G50" s="497">
        <v>5001</v>
      </c>
    </row>
    <row r="51" spans="1:11" ht="12.75" customHeight="1" x14ac:dyDescent="0.3">
      <c r="A51" s="2"/>
      <c r="B51" s="17" t="s">
        <v>42</v>
      </c>
      <c r="C51" s="497">
        <v>48900</v>
      </c>
      <c r="D51" s="497">
        <v>60000</v>
      </c>
      <c r="E51" s="497">
        <v>70000</v>
      </c>
      <c r="F51" s="497">
        <v>80000</v>
      </c>
      <c r="G51" s="497">
        <v>80001</v>
      </c>
    </row>
    <row r="52" spans="1:11" ht="12.75" customHeight="1" x14ac:dyDescent="0.3">
      <c r="A52" s="2"/>
      <c r="B52" s="17" t="s">
        <v>43</v>
      </c>
      <c r="C52" s="497">
        <v>97800</v>
      </c>
      <c r="D52" s="497">
        <v>98000</v>
      </c>
      <c r="E52" s="497">
        <v>99000</v>
      </c>
      <c r="F52" s="497">
        <v>100000</v>
      </c>
      <c r="G52" s="497">
        <v>100001</v>
      </c>
    </row>
    <row r="53" spans="1:11" ht="12.75" customHeight="1" x14ac:dyDescent="0.3">
      <c r="A53" s="2"/>
      <c r="B53" s="17" t="s">
        <v>44</v>
      </c>
      <c r="C53" s="497">
        <v>12000</v>
      </c>
      <c r="D53" s="497">
        <v>10000</v>
      </c>
      <c r="E53" s="497">
        <v>5000</v>
      </c>
      <c r="F53" s="497">
        <v>5000</v>
      </c>
      <c r="G53" s="497">
        <v>5001</v>
      </c>
    </row>
    <row r="54" spans="1:11" ht="12.75" customHeight="1" x14ac:dyDescent="0.3">
      <c r="A54" s="2"/>
      <c r="B54" s="17" t="s">
        <v>45</v>
      </c>
      <c r="C54" s="497">
        <v>12000</v>
      </c>
      <c r="D54" s="497">
        <v>20000</v>
      </c>
      <c r="E54" s="497">
        <v>22000</v>
      </c>
      <c r="F54" s="497">
        <v>24000</v>
      </c>
      <c r="G54" s="497">
        <v>24001</v>
      </c>
      <c r="K54" s="252"/>
    </row>
    <row r="55" spans="1:11" ht="12.75" customHeight="1" x14ac:dyDescent="0.3">
      <c r="A55" s="2"/>
      <c r="B55" s="17" t="s">
        <v>46</v>
      </c>
      <c r="C55" s="497">
        <v>12000</v>
      </c>
      <c r="D55" s="497">
        <v>20000</v>
      </c>
      <c r="E55" s="497">
        <v>20000</v>
      </c>
      <c r="F55" s="497">
        <v>20000</v>
      </c>
      <c r="G55" s="497">
        <v>20001</v>
      </c>
    </row>
    <row r="56" spans="1:11" ht="12.75" customHeight="1" x14ac:dyDescent="0.3">
      <c r="A56" s="2"/>
      <c r="B56" s="17" t="s">
        <v>47</v>
      </c>
      <c r="C56" s="497">
        <v>60000</v>
      </c>
      <c r="D56" s="497">
        <v>80000</v>
      </c>
      <c r="E56" s="497">
        <v>22000</v>
      </c>
      <c r="F56" s="497">
        <v>24000</v>
      </c>
      <c r="G56" s="497">
        <v>24001</v>
      </c>
    </row>
    <row r="57" spans="1:11" ht="12.75" customHeight="1" x14ac:dyDescent="0.3">
      <c r="A57" s="2"/>
      <c r="B57" s="17" t="s">
        <v>48</v>
      </c>
      <c r="C57" s="497">
        <v>30000</v>
      </c>
      <c r="D57" s="497">
        <v>40000</v>
      </c>
      <c r="E57" s="497">
        <v>40000</v>
      </c>
      <c r="F57" s="497">
        <v>40000</v>
      </c>
      <c r="G57" s="497">
        <v>40001</v>
      </c>
    </row>
    <row r="58" spans="1:11" ht="12.75" customHeight="1" x14ac:dyDescent="0.3">
      <c r="A58" s="2"/>
      <c r="B58" s="17" t="s">
        <v>49</v>
      </c>
      <c r="C58" s="497">
        <v>48000</v>
      </c>
      <c r="D58" s="497">
        <v>60000</v>
      </c>
      <c r="E58" s="497">
        <v>60000</v>
      </c>
      <c r="F58" s="497">
        <v>60000</v>
      </c>
      <c r="G58" s="497">
        <v>60001</v>
      </c>
    </row>
    <row r="59" spans="1:11" ht="12.75" customHeight="1" x14ac:dyDescent="0.3">
      <c r="A59" s="2"/>
      <c r="B59" s="17" t="s">
        <v>50</v>
      </c>
      <c r="C59" s="497">
        <v>12000</v>
      </c>
      <c r="D59" s="497">
        <v>20000</v>
      </c>
      <c r="E59" s="497">
        <v>20000</v>
      </c>
      <c r="F59" s="497">
        <v>20000</v>
      </c>
      <c r="G59" s="497">
        <v>20001</v>
      </c>
    </row>
    <row r="60" spans="1:11" ht="12.75" customHeight="1" x14ac:dyDescent="0.3">
      <c r="A60" s="2"/>
      <c r="B60" s="17" t="s">
        <v>51</v>
      </c>
      <c r="C60" s="497">
        <v>24000</v>
      </c>
      <c r="D60" s="497">
        <v>30000</v>
      </c>
      <c r="E60" s="497">
        <v>35000</v>
      </c>
      <c r="F60" s="497">
        <v>40000</v>
      </c>
      <c r="G60" s="497">
        <v>40001</v>
      </c>
    </row>
    <row r="61" spans="1:11" ht="12.75" customHeight="1" x14ac:dyDescent="0.3">
      <c r="A61" s="2"/>
      <c r="B61" s="17" t="s">
        <v>52</v>
      </c>
      <c r="C61" s="497">
        <v>48000</v>
      </c>
      <c r="D61" s="497">
        <v>55000</v>
      </c>
      <c r="E61" s="497">
        <v>60000</v>
      </c>
      <c r="F61" s="497">
        <v>70000</v>
      </c>
      <c r="G61" s="497">
        <v>70001</v>
      </c>
    </row>
    <row r="62" spans="1:11" ht="12.75" customHeight="1" x14ac:dyDescent="0.3">
      <c r="A62" s="2"/>
      <c r="B62" s="17" t="s">
        <v>53</v>
      </c>
      <c r="C62" s="497">
        <v>12000</v>
      </c>
      <c r="D62" s="497">
        <v>15000</v>
      </c>
      <c r="E62" s="497">
        <v>17000</v>
      </c>
      <c r="F62" s="497">
        <v>19000</v>
      </c>
      <c r="G62" s="497">
        <v>19001</v>
      </c>
    </row>
    <row r="63" spans="1:11" ht="12.75" customHeight="1" x14ac:dyDescent="0.3">
      <c r="A63" s="2"/>
      <c r="B63" s="17" t="s">
        <v>54</v>
      </c>
      <c r="C63" s="497">
        <v>180000</v>
      </c>
      <c r="D63" s="497">
        <v>70000</v>
      </c>
      <c r="E63" s="497">
        <v>70000</v>
      </c>
      <c r="F63" s="497">
        <v>70000</v>
      </c>
      <c r="G63" s="497">
        <v>70001</v>
      </c>
    </row>
    <row r="64" spans="1:11" ht="12.75" customHeight="1" x14ac:dyDescent="0.3">
      <c r="A64" s="2"/>
      <c r="B64" s="15" t="s">
        <v>55</v>
      </c>
      <c r="C64" s="497">
        <v>24000</v>
      </c>
      <c r="D64" s="497">
        <v>40000</v>
      </c>
      <c r="E64" s="497">
        <v>40000</v>
      </c>
      <c r="F64" s="497">
        <v>40000</v>
      </c>
      <c r="G64" s="497">
        <v>40001</v>
      </c>
    </row>
    <row r="65" spans="1:7" ht="12.75" customHeight="1" x14ac:dyDescent="0.3">
      <c r="A65" s="2"/>
      <c r="B65" s="10" t="s">
        <v>56</v>
      </c>
      <c r="C65" s="497">
        <v>0</v>
      </c>
      <c r="D65" s="497">
        <v>0</v>
      </c>
      <c r="E65" s="497">
        <v>0</v>
      </c>
      <c r="F65" s="497">
        <v>0</v>
      </c>
      <c r="G65" s="497">
        <v>1</v>
      </c>
    </row>
    <row r="66" spans="1:7" ht="12.75" customHeight="1" x14ac:dyDescent="0.3">
      <c r="A66" s="2"/>
      <c r="B66" s="25" t="s">
        <v>57</v>
      </c>
      <c r="C66" s="498">
        <f>SUM(C67:C77)</f>
        <v>767000</v>
      </c>
      <c r="D66" s="498">
        <f t="shared" ref="D66:G66" si="5">SUM(D67:D77)</f>
        <v>860000</v>
      </c>
      <c r="E66" s="498">
        <f>SUM(E67:E77)</f>
        <v>1052000</v>
      </c>
      <c r="F66" s="498">
        <f t="shared" si="5"/>
        <v>1052000</v>
      </c>
      <c r="G66" s="498">
        <f t="shared" si="5"/>
        <v>1052007</v>
      </c>
    </row>
    <row r="67" spans="1:7" ht="12.75" customHeight="1" outlineLevel="1" x14ac:dyDescent="0.3">
      <c r="A67" s="2"/>
      <c r="B67" s="26" t="s">
        <v>58</v>
      </c>
      <c r="C67" s="499">
        <v>144000</v>
      </c>
      <c r="D67" s="499">
        <v>144000</v>
      </c>
      <c r="E67" s="499">
        <v>144000</v>
      </c>
      <c r="F67" s="499">
        <v>144000</v>
      </c>
      <c r="G67" s="499">
        <v>144001</v>
      </c>
    </row>
    <row r="68" spans="1:7" ht="12.75" customHeight="1" outlineLevel="1" x14ac:dyDescent="0.3">
      <c r="A68" s="2"/>
      <c r="B68" s="26" t="s">
        <v>59</v>
      </c>
      <c r="C68" s="499">
        <v>96000</v>
      </c>
      <c r="D68" s="499">
        <v>96000</v>
      </c>
      <c r="E68" s="499">
        <v>96000</v>
      </c>
      <c r="F68" s="499">
        <v>96000</v>
      </c>
      <c r="G68" s="499">
        <v>96001</v>
      </c>
    </row>
    <row r="69" spans="1:7" ht="12.75" customHeight="1" outlineLevel="1" x14ac:dyDescent="0.3">
      <c r="A69" s="2"/>
      <c r="B69" s="26" t="s">
        <v>60</v>
      </c>
      <c r="C69" s="499">
        <v>96000</v>
      </c>
      <c r="D69" s="499">
        <v>96000</v>
      </c>
      <c r="E69" s="499">
        <v>96000</v>
      </c>
      <c r="F69" s="499">
        <v>96000</v>
      </c>
      <c r="G69" s="499">
        <v>96001</v>
      </c>
    </row>
    <row r="70" spans="1:7" ht="12.75" customHeight="1" outlineLevel="1" x14ac:dyDescent="0.3">
      <c r="A70" s="2"/>
      <c r="B70" s="26" t="s">
        <v>61</v>
      </c>
      <c r="C70" s="499">
        <v>96000</v>
      </c>
      <c r="D70" s="499">
        <v>96000</v>
      </c>
      <c r="E70" s="499">
        <v>96000</v>
      </c>
      <c r="F70" s="499">
        <v>96000</v>
      </c>
      <c r="G70" s="499">
        <v>96001</v>
      </c>
    </row>
    <row r="71" spans="1:7" ht="12.75" customHeight="1" outlineLevel="1" x14ac:dyDescent="0.3">
      <c r="A71" s="2"/>
      <c r="B71" s="26" t="s">
        <v>62</v>
      </c>
      <c r="C71" s="499">
        <v>40000</v>
      </c>
      <c r="D71" s="499">
        <v>41000</v>
      </c>
      <c r="E71" s="499">
        <v>60000</v>
      </c>
      <c r="F71" s="499">
        <v>60000</v>
      </c>
      <c r="G71" s="499">
        <v>60001</v>
      </c>
    </row>
    <row r="72" spans="1:7" ht="12.75" customHeight="1" outlineLevel="1" x14ac:dyDescent="0.3">
      <c r="A72" s="2"/>
      <c r="B72" s="26" t="s">
        <v>63</v>
      </c>
      <c r="C72" s="499">
        <v>60000</v>
      </c>
      <c r="D72" s="499">
        <v>60000</v>
      </c>
      <c r="E72" s="499">
        <v>90000</v>
      </c>
      <c r="F72" s="499">
        <v>90000</v>
      </c>
      <c r="G72" s="499">
        <v>90000</v>
      </c>
    </row>
    <row r="73" spans="1:7" ht="12.75" customHeight="1" outlineLevel="1" x14ac:dyDescent="0.3">
      <c r="A73" s="2"/>
      <c r="B73" s="26" t="s">
        <v>64</v>
      </c>
      <c r="C73" s="499">
        <v>60000</v>
      </c>
      <c r="D73" s="499">
        <v>60000</v>
      </c>
      <c r="E73" s="499">
        <v>90000</v>
      </c>
      <c r="F73" s="499">
        <v>90000</v>
      </c>
      <c r="G73" s="499">
        <v>90000</v>
      </c>
    </row>
    <row r="74" spans="1:7" ht="12.75" customHeight="1" outlineLevel="1" x14ac:dyDescent="0.3">
      <c r="A74" s="2"/>
      <c r="B74" s="26" t="s">
        <v>65</v>
      </c>
      <c r="C74" s="499">
        <v>30000</v>
      </c>
      <c r="D74" s="499">
        <v>30000</v>
      </c>
      <c r="E74" s="499">
        <v>90000</v>
      </c>
      <c r="F74" s="499">
        <v>90000</v>
      </c>
      <c r="G74" s="499">
        <v>90000</v>
      </c>
    </row>
    <row r="75" spans="1:7" ht="12.75" customHeight="1" outlineLevel="1" x14ac:dyDescent="0.3">
      <c r="A75" s="2"/>
      <c r="B75" s="26" t="s">
        <v>66</v>
      </c>
      <c r="C75" s="499">
        <v>35000</v>
      </c>
      <c r="D75" s="499">
        <v>60000</v>
      </c>
      <c r="E75" s="499">
        <v>60000</v>
      </c>
      <c r="F75" s="499">
        <v>60000</v>
      </c>
      <c r="G75" s="499">
        <v>60001</v>
      </c>
    </row>
    <row r="76" spans="1:7" ht="12.75" customHeight="1" outlineLevel="1" x14ac:dyDescent="0.3">
      <c r="A76" s="2"/>
      <c r="B76" s="26" t="s">
        <v>67</v>
      </c>
      <c r="C76" s="499">
        <v>30000</v>
      </c>
      <c r="D76" s="499">
        <v>60000</v>
      </c>
      <c r="E76" s="499">
        <v>60000</v>
      </c>
      <c r="F76" s="499">
        <v>60000</v>
      </c>
      <c r="G76" s="499">
        <v>60001</v>
      </c>
    </row>
    <row r="77" spans="1:7" ht="12.75" customHeight="1" outlineLevel="1" x14ac:dyDescent="0.3">
      <c r="A77" s="2"/>
      <c r="B77" s="26" t="s">
        <v>68</v>
      </c>
      <c r="C77" s="499">
        <v>80000</v>
      </c>
      <c r="D77" s="499">
        <v>117000</v>
      </c>
      <c r="E77" s="499">
        <v>170000</v>
      </c>
      <c r="F77" s="499">
        <v>170000</v>
      </c>
      <c r="G77" s="499">
        <v>170000</v>
      </c>
    </row>
    <row r="78" spans="1:7" ht="12.75" customHeight="1" x14ac:dyDescent="0.3">
      <c r="A78" s="2"/>
      <c r="B78" s="15" t="s">
        <v>69</v>
      </c>
      <c r="C78" s="24">
        <v>0</v>
      </c>
      <c r="D78" s="24">
        <v>0</v>
      </c>
      <c r="E78" s="24">
        <v>0</v>
      </c>
      <c r="F78" s="24">
        <v>0</v>
      </c>
      <c r="G78" s="24">
        <v>1</v>
      </c>
    </row>
    <row r="79" spans="1:7" ht="12.75" customHeight="1" x14ac:dyDescent="0.3">
      <c r="A79" s="2"/>
      <c r="B79" s="17" t="s">
        <v>70</v>
      </c>
      <c r="C79" s="24">
        <v>491548.8</v>
      </c>
      <c r="D79" s="24">
        <v>1638656.7999999998</v>
      </c>
      <c r="E79" s="24">
        <v>1638656.7999999998</v>
      </c>
      <c r="F79" s="24">
        <v>1638656.7999999998</v>
      </c>
      <c r="G79" s="24">
        <v>1638657.8</v>
      </c>
    </row>
    <row r="80" spans="1:7" ht="12.75" customHeight="1" x14ac:dyDescent="0.3">
      <c r="A80" s="2"/>
      <c r="B80" s="15" t="s">
        <v>71</v>
      </c>
      <c r="C80" s="24">
        <v>0</v>
      </c>
      <c r="D80" s="24">
        <v>0</v>
      </c>
      <c r="E80" s="24">
        <v>0</v>
      </c>
      <c r="F80" s="24">
        <v>0</v>
      </c>
      <c r="G80" s="24">
        <v>1</v>
      </c>
    </row>
    <row r="81" spans="1:7" ht="12.75" customHeight="1" x14ac:dyDescent="0.3">
      <c r="A81" s="2"/>
      <c r="B81" s="27" t="s">
        <v>72</v>
      </c>
      <c r="C81" s="19"/>
      <c r="D81" s="19"/>
      <c r="E81" s="19"/>
      <c r="F81" s="19"/>
      <c r="G81" s="19"/>
    </row>
    <row r="82" spans="1:7" ht="12.75" customHeight="1" x14ac:dyDescent="0.3">
      <c r="A82" s="2"/>
      <c r="B82" s="10" t="s">
        <v>73</v>
      </c>
      <c r="C82" s="24"/>
      <c r="D82" s="24"/>
      <c r="E82" s="24"/>
      <c r="F82" s="24"/>
      <c r="G82" s="24"/>
    </row>
    <row r="83" spans="1:7" ht="12.75" customHeight="1" x14ac:dyDescent="0.3">
      <c r="A83" s="2"/>
      <c r="B83" s="10" t="s">
        <v>74</v>
      </c>
      <c r="C83" s="28"/>
      <c r="D83" s="28"/>
      <c r="E83" s="28"/>
      <c r="F83" s="28"/>
      <c r="G83" s="28"/>
    </row>
    <row r="84" spans="1:7" ht="12.75" customHeight="1" thickBot="1" x14ac:dyDescent="0.35">
      <c r="A84" s="2"/>
      <c r="B84" s="29" t="s">
        <v>75</v>
      </c>
      <c r="C84" s="30"/>
      <c r="D84" s="30"/>
      <c r="E84" s="30"/>
      <c r="F84" s="30"/>
      <c r="G84" s="30"/>
    </row>
    <row r="85" spans="1:7" ht="12.75" customHeight="1" thickBot="1" x14ac:dyDescent="0.35">
      <c r="A85" s="2"/>
      <c r="B85" s="20" t="s">
        <v>76</v>
      </c>
      <c r="C85" s="21">
        <f>SUM(C28:C80)-C34-C39-C66</f>
        <v>6237104.7999999998</v>
      </c>
      <c r="D85" s="21">
        <f t="shared" ref="D85:F85" si="6">SUM(D28:D80)-D34-D39-D66</f>
        <v>9547112.8000000007</v>
      </c>
      <c r="E85" s="21">
        <f t="shared" si="6"/>
        <v>10768736</v>
      </c>
      <c r="F85" s="21">
        <f t="shared" si="6"/>
        <v>12665309.760000002</v>
      </c>
      <c r="G85" s="21">
        <f t="shared" ref="G85" si="7">SUM(G28:G80)-G34-G39-G66</f>
        <v>15039222.648000002</v>
      </c>
    </row>
    <row r="86" spans="1:7" ht="12.75" customHeight="1" thickBot="1" x14ac:dyDescent="0.35">
      <c r="A86" s="2"/>
      <c r="B86" s="7" t="s">
        <v>77</v>
      </c>
      <c r="C86" s="21">
        <f>C25-C85</f>
        <v>2142895.2000000002</v>
      </c>
      <c r="D86" s="21">
        <v>3006445.793406589</v>
      </c>
      <c r="E86" s="21">
        <v>3006443.793406589</v>
      </c>
      <c r="F86" s="21">
        <v>3006443.793406589</v>
      </c>
      <c r="G86" s="21">
        <v>3006444.7934065899</v>
      </c>
    </row>
    <row r="87" spans="1:7" ht="12.75" customHeight="1" thickBot="1" x14ac:dyDescent="0.35">
      <c r="A87" s="2"/>
      <c r="B87" s="7" t="s">
        <v>78</v>
      </c>
      <c r="C87" s="21">
        <v>3015788.3999999994</v>
      </c>
      <c r="D87" s="21">
        <v>7543968.1934065875</v>
      </c>
      <c r="E87" s="21">
        <v>11028593.393406587</v>
      </c>
      <c r="F87" s="21">
        <v>14513220.593406586</v>
      </c>
      <c r="G87" s="21">
        <v>14513221.593406601</v>
      </c>
    </row>
    <row r="88" spans="1:7" ht="12.75" customHeight="1" thickBot="1" x14ac:dyDescent="0.35">
      <c r="A88" s="2"/>
      <c r="B88" s="31"/>
      <c r="C88" s="32"/>
      <c r="D88" s="32"/>
      <c r="E88" s="32"/>
      <c r="F88" s="32"/>
      <c r="G88" s="32"/>
    </row>
    <row r="89" spans="1:7" ht="12.75" customHeight="1" thickBot="1" x14ac:dyDescent="0.35">
      <c r="A89" s="2"/>
      <c r="B89" s="33" t="s">
        <v>79</v>
      </c>
      <c r="C89" s="34"/>
      <c r="D89" s="34"/>
      <c r="E89" s="34"/>
      <c r="F89" s="34"/>
      <c r="G89" s="34"/>
    </row>
    <row r="90" spans="1:7" ht="12.75" customHeight="1" x14ac:dyDescent="0.3">
      <c r="A90" s="1"/>
      <c r="B90" s="1"/>
      <c r="C90" s="4"/>
      <c r="D90" s="4"/>
      <c r="E90" s="4"/>
      <c r="F90" s="4"/>
      <c r="G90" s="4"/>
    </row>
    <row r="91" spans="1:7" ht="12.75" customHeight="1" x14ac:dyDescent="0.3">
      <c r="A91" s="1"/>
      <c r="B91" s="1"/>
      <c r="C91" s="4"/>
      <c r="D91" s="4"/>
      <c r="E91" s="4"/>
      <c r="F91" s="4"/>
      <c r="G91" s="4"/>
    </row>
    <row r="92" spans="1:7" ht="12.75" customHeight="1" x14ac:dyDescent="0.3">
      <c r="A92" s="1"/>
      <c r="B92" s="1"/>
      <c r="C92" s="4"/>
      <c r="D92" s="4"/>
      <c r="E92" s="4"/>
      <c r="F92" s="4"/>
      <c r="G92" s="4"/>
    </row>
    <row r="93" spans="1:7" ht="12.75" customHeight="1" x14ac:dyDescent="0.3">
      <c r="A93" s="1"/>
      <c r="B93" s="1"/>
      <c r="C93" s="4"/>
      <c r="D93" s="4"/>
      <c r="E93" s="4"/>
      <c r="F93" s="4"/>
      <c r="G93" s="4"/>
    </row>
    <row r="94" spans="1:7" ht="12.75" customHeight="1" x14ac:dyDescent="0.3">
      <c r="A94" s="1"/>
      <c r="B94" s="1"/>
      <c r="C94" s="4"/>
      <c r="D94" s="4"/>
      <c r="E94" s="4"/>
      <c r="F94" s="4"/>
      <c r="G94" s="4"/>
    </row>
    <row r="95" spans="1:7" ht="12.75" customHeight="1" x14ac:dyDescent="0.3">
      <c r="A95" s="1"/>
      <c r="B95" s="1"/>
      <c r="C95" s="4"/>
      <c r="D95" s="4"/>
      <c r="E95" s="4"/>
      <c r="F95" s="4"/>
      <c r="G95" s="4"/>
    </row>
    <row r="96" spans="1:7" ht="12.75" customHeight="1" x14ac:dyDescent="0.3">
      <c r="A96" s="1"/>
      <c r="B96" s="1"/>
      <c r="C96" s="4"/>
      <c r="D96" s="4"/>
      <c r="E96" s="4"/>
      <c r="F96" s="4"/>
      <c r="G96" s="4"/>
    </row>
    <row r="97" spans="1:7" ht="12.75" customHeight="1" x14ac:dyDescent="0.3">
      <c r="A97" s="1"/>
      <c r="B97" s="1"/>
      <c r="C97" s="4"/>
      <c r="D97" s="4"/>
      <c r="E97" s="4"/>
      <c r="F97" s="4"/>
      <c r="G97" s="4"/>
    </row>
    <row r="98" spans="1:7" ht="12.75" customHeight="1" x14ac:dyDescent="0.3">
      <c r="A98" s="1"/>
      <c r="B98" s="1"/>
      <c r="C98" s="4"/>
      <c r="D98" s="4"/>
      <c r="E98" s="4"/>
      <c r="F98" s="4"/>
      <c r="G98" s="4"/>
    </row>
    <row r="99" spans="1:7" ht="12.75" customHeight="1" x14ac:dyDescent="0.3">
      <c r="A99" s="1"/>
      <c r="B99" s="1"/>
      <c r="C99" s="4"/>
      <c r="D99" s="4"/>
      <c r="E99" s="4"/>
      <c r="F99" s="4"/>
      <c r="G99" s="4"/>
    </row>
    <row r="100" spans="1:7" ht="12.75" customHeight="1" x14ac:dyDescent="0.3">
      <c r="A100" s="1"/>
      <c r="B100" s="1"/>
      <c r="C100" s="4"/>
      <c r="D100" s="4"/>
      <c r="E100" s="4"/>
      <c r="F100" s="4"/>
      <c r="G100" s="4"/>
    </row>
    <row r="101" spans="1:7" ht="12.75" customHeight="1" x14ac:dyDescent="0.3">
      <c r="A101" s="1"/>
      <c r="B101" s="1"/>
      <c r="C101" s="4"/>
      <c r="D101" s="4"/>
      <c r="E101" s="4"/>
      <c r="F101" s="4"/>
      <c r="G101" s="4"/>
    </row>
    <row r="102" spans="1:7" ht="12.75" customHeight="1" x14ac:dyDescent="0.3">
      <c r="A102" s="1"/>
      <c r="B102" s="1"/>
      <c r="C102" s="4"/>
      <c r="D102" s="4"/>
      <c r="E102" s="4"/>
      <c r="F102" s="4"/>
      <c r="G102" s="4"/>
    </row>
    <row r="103" spans="1:7" ht="12.75" customHeight="1" x14ac:dyDescent="0.3">
      <c r="A103" s="1"/>
      <c r="B103" s="1"/>
      <c r="C103" s="4"/>
      <c r="D103" s="4"/>
      <c r="E103" s="4"/>
      <c r="F103" s="4"/>
      <c r="G103" s="4"/>
    </row>
    <row r="104" spans="1:7" ht="12.75" customHeight="1" x14ac:dyDescent="0.3">
      <c r="A104" s="1"/>
      <c r="B104" s="1"/>
      <c r="C104" s="4"/>
      <c r="D104" s="4"/>
      <c r="E104" s="4"/>
      <c r="F104" s="4"/>
      <c r="G104" s="4"/>
    </row>
    <row r="105" spans="1:7" ht="12.75" customHeight="1" x14ac:dyDescent="0.3">
      <c r="A105" s="1"/>
      <c r="B105" s="17"/>
      <c r="C105" s="4"/>
      <c r="D105" s="4"/>
      <c r="E105" s="4"/>
      <c r="F105" s="4"/>
      <c r="G105" s="4"/>
    </row>
    <row r="106" spans="1:7" ht="12.75" customHeight="1" x14ac:dyDescent="0.3">
      <c r="A106" s="1"/>
      <c r="B106" s="17"/>
      <c r="C106" s="4"/>
      <c r="D106" s="4"/>
      <c r="E106" s="4"/>
      <c r="F106" s="4"/>
      <c r="G106" s="4"/>
    </row>
    <row r="107" spans="1:7" ht="12.75" customHeight="1" x14ac:dyDescent="0.3">
      <c r="A107" s="1"/>
      <c r="B107" s="17"/>
      <c r="C107" s="4"/>
      <c r="D107" s="4"/>
      <c r="E107" s="4"/>
      <c r="F107" s="4"/>
      <c r="G107" s="4"/>
    </row>
    <row r="108" spans="1:7" ht="12.75" customHeight="1" x14ac:dyDescent="0.3">
      <c r="A108" s="1"/>
      <c r="B108" s="17"/>
      <c r="C108" s="4"/>
      <c r="D108" s="4"/>
      <c r="E108" s="4"/>
      <c r="F108" s="4"/>
      <c r="G108" s="4"/>
    </row>
    <row r="109" spans="1:7" ht="12.75" customHeight="1" x14ac:dyDescent="0.3">
      <c r="A109" s="1"/>
      <c r="B109" s="17"/>
      <c r="C109" s="4"/>
      <c r="D109" s="4"/>
      <c r="E109" s="4"/>
      <c r="F109" s="4"/>
      <c r="G109" s="4"/>
    </row>
    <row r="110" spans="1:7" ht="12.75" customHeight="1" x14ac:dyDescent="0.3">
      <c r="A110" s="1"/>
      <c r="B110" s="17"/>
      <c r="C110" s="4"/>
      <c r="D110" s="4"/>
      <c r="E110" s="4"/>
      <c r="F110" s="4"/>
      <c r="G110" s="4"/>
    </row>
    <row r="111" spans="1:7" ht="12.75" customHeight="1" x14ac:dyDescent="0.3">
      <c r="A111" s="1"/>
      <c r="B111" s="17"/>
      <c r="C111" s="4"/>
      <c r="D111" s="4"/>
      <c r="E111" s="4"/>
      <c r="F111" s="4"/>
      <c r="G111" s="4"/>
    </row>
    <row r="112" spans="1:7" ht="12.75" customHeight="1" x14ac:dyDescent="0.3">
      <c r="A112" s="1"/>
      <c r="B112" s="17"/>
      <c r="C112" s="4"/>
      <c r="D112" s="4"/>
      <c r="E112" s="4"/>
      <c r="F112" s="4"/>
      <c r="G112" s="4"/>
    </row>
    <row r="113" spans="1:7" ht="12.75" customHeight="1" x14ac:dyDescent="0.3">
      <c r="A113" s="1"/>
      <c r="B113" s="17"/>
      <c r="C113" s="4"/>
      <c r="D113" s="4"/>
      <c r="E113" s="4"/>
      <c r="F113" s="4"/>
      <c r="G113" s="4"/>
    </row>
    <row r="114" spans="1:7" ht="12.75" customHeight="1" x14ac:dyDescent="0.3">
      <c r="A114" s="1"/>
      <c r="B114" s="17"/>
      <c r="C114" s="4"/>
      <c r="D114" s="4"/>
      <c r="E114" s="4"/>
      <c r="F114" s="4"/>
      <c r="G114" s="4"/>
    </row>
    <row r="115" spans="1:7" ht="12.75" customHeight="1" x14ac:dyDescent="0.3">
      <c r="A115" s="1"/>
      <c r="B115" s="17"/>
      <c r="C115" s="4"/>
      <c r="D115" s="4"/>
      <c r="E115" s="4"/>
      <c r="F115" s="4"/>
      <c r="G115" s="4"/>
    </row>
    <row r="116" spans="1:7" ht="12.75" customHeight="1" x14ac:dyDescent="0.3">
      <c r="A116" s="1"/>
      <c r="B116" s="17"/>
      <c r="C116" s="4"/>
      <c r="D116" s="4"/>
      <c r="E116" s="4"/>
      <c r="F116" s="4"/>
      <c r="G116" s="4"/>
    </row>
    <row r="117" spans="1:7" ht="12.75" customHeight="1" x14ac:dyDescent="0.3">
      <c r="A117" s="1"/>
      <c r="B117" s="17"/>
      <c r="C117" s="4"/>
      <c r="D117" s="4"/>
      <c r="E117" s="4"/>
      <c r="F117" s="4"/>
      <c r="G117" s="4"/>
    </row>
    <row r="118" spans="1:7" ht="12.75" customHeight="1" x14ac:dyDescent="0.3">
      <c r="A118" s="1"/>
      <c r="B118" s="17"/>
      <c r="C118" s="4"/>
      <c r="D118" s="4"/>
      <c r="E118" s="4"/>
      <c r="F118" s="4"/>
      <c r="G118" s="4"/>
    </row>
    <row r="119" spans="1:7" ht="12.75" customHeight="1" x14ac:dyDescent="0.3">
      <c r="A119" s="1"/>
      <c r="B119" s="17"/>
      <c r="C119" s="4"/>
      <c r="D119" s="4"/>
      <c r="E119" s="4"/>
      <c r="F119" s="4"/>
      <c r="G119" s="4"/>
    </row>
    <row r="120" spans="1:7" ht="12.75" customHeight="1" x14ac:dyDescent="0.3">
      <c r="A120" s="1"/>
      <c r="B120" s="17"/>
      <c r="C120" s="4"/>
      <c r="D120" s="4"/>
      <c r="E120" s="4"/>
      <c r="F120" s="4"/>
      <c r="G120" s="4"/>
    </row>
    <row r="121" spans="1:7" ht="12.75" customHeight="1" x14ac:dyDescent="0.3">
      <c r="A121" s="1"/>
      <c r="B121" s="1"/>
      <c r="C121" s="4"/>
      <c r="D121" s="4"/>
      <c r="E121" s="4"/>
      <c r="F121" s="4"/>
      <c r="G121" s="4"/>
    </row>
    <row r="122" spans="1:7" ht="12.75" customHeight="1" x14ac:dyDescent="0.3">
      <c r="A122" s="1"/>
      <c r="B122" s="1"/>
      <c r="C122" s="4"/>
      <c r="D122" s="4"/>
      <c r="E122" s="4"/>
      <c r="F122" s="4"/>
      <c r="G122" s="4"/>
    </row>
    <row r="123" spans="1:7" ht="12.75" customHeight="1" x14ac:dyDescent="0.3">
      <c r="A123" s="1"/>
      <c r="B123" s="1"/>
      <c r="C123" s="4"/>
      <c r="D123" s="4"/>
      <c r="E123" s="4"/>
      <c r="F123" s="4"/>
      <c r="G123" s="4"/>
    </row>
    <row r="124" spans="1:7" ht="12.75" customHeight="1" x14ac:dyDescent="0.3">
      <c r="A124" s="1"/>
      <c r="B124" s="1"/>
      <c r="C124" s="4"/>
      <c r="D124" s="4"/>
      <c r="E124" s="4"/>
      <c r="F124" s="4"/>
      <c r="G124" s="4"/>
    </row>
    <row r="125" spans="1:7" ht="12.75" customHeight="1" x14ac:dyDescent="0.3">
      <c r="A125" s="1"/>
      <c r="B125" s="1"/>
      <c r="C125" s="4"/>
      <c r="D125" s="4"/>
      <c r="E125" s="4"/>
      <c r="F125" s="4"/>
      <c r="G125" s="4"/>
    </row>
    <row r="126" spans="1:7" ht="12.75" customHeight="1" x14ac:dyDescent="0.3">
      <c r="A126" s="1"/>
      <c r="B126" s="1"/>
      <c r="C126" s="4"/>
      <c r="D126" s="4"/>
      <c r="E126" s="4"/>
      <c r="F126" s="4"/>
      <c r="G126" s="4"/>
    </row>
    <row r="127" spans="1:7" ht="12.75" customHeight="1" x14ac:dyDescent="0.3">
      <c r="A127" s="1"/>
      <c r="B127" s="1"/>
      <c r="C127" s="4"/>
      <c r="D127" s="4"/>
      <c r="E127" s="4"/>
      <c r="F127" s="4"/>
      <c r="G127" s="4"/>
    </row>
    <row r="128" spans="1:7" ht="12.75" customHeight="1" x14ac:dyDescent="0.3">
      <c r="A128" s="1"/>
      <c r="B128" s="1"/>
      <c r="C128" s="4"/>
      <c r="D128" s="4"/>
      <c r="E128" s="4"/>
      <c r="F128" s="4"/>
      <c r="G128" s="4"/>
    </row>
    <row r="129" spans="1:7" ht="12.75" customHeight="1" x14ac:dyDescent="0.3">
      <c r="A129" s="1"/>
      <c r="B129" s="1"/>
      <c r="C129" s="4"/>
      <c r="D129" s="4"/>
      <c r="E129" s="4"/>
      <c r="F129" s="4"/>
      <c r="G129" s="4"/>
    </row>
    <row r="130" spans="1:7" ht="12.75" customHeight="1" x14ac:dyDescent="0.3">
      <c r="A130" s="1"/>
      <c r="B130" s="1"/>
      <c r="C130" s="4"/>
      <c r="D130" s="4"/>
      <c r="E130" s="4"/>
      <c r="F130" s="4"/>
      <c r="G130" s="4"/>
    </row>
    <row r="131" spans="1:7" ht="12.75" customHeight="1" x14ac:dyDescent="0.3">
      <c r="A131" s="1"/>
      <c r="B131" s="1"/>
      <c r="C131" s="4"/>
      <c r="D131" s="4"/>
      <c r="E131" s="4"/>
      <c r="F131" s="4"/>
      <c r="G131" s="4"/>
    </row>
    <row r="132" spans="1:7" ht="12.75" customHeight="1" x14ac:dyDescent="0.3">
      <c r="A132" s="1"/>
      <c r="B132" s="1"/>
      <c r="C132" s="4"/>
      <c r="D132" s="4"/>
      <c r="E132" s="4"/>
      <c r="F132" s="4"/>
      <c r="G132" s="4"/>
    </row>
    <row r="133" spans="1:7" ht="12.75" customHeight="1" x14ac:dyDescent="0.3">
      <c r="A133" s="1"/>
      <c r="B133" s="1"/>
      <c r="C133" s="4"/>
      <c r="D133" s="4"/>
      <c r="E133" s="4"/>
      <c r="F133" s="4"/>
      <c r="G133" s="4"/>
    </row>
    <row r="134" spans="1:7" ht="12.75" customHeight="1" x14ac:dyDescent="0.3">
      <c r="A134" s="1"/>
      <c r="B134" s="1"/>
      <c r="C134" s="4"/>
      <c r="D134" s="4"/>
      <c r="E134" s="4"/>
      <c r="F134" s="4"/>
      <c r="G134" s="4"/>
    </row>
    <row r="135" spans="1:7" ht="12.75" customHeight="1" x14ac:dyDescent="0.3">
      <c r="A135" s="1"/>
      <c r="B135" s="1"/>
      <c r="C135" s="4"/>
      <c r="D135" s="4"/>
      <c r="E135" s="4"/>
      <c r="F135" s="4"/>
      <c r="G135" s="4"/>
    </row>
    <row r="136" spans="1:7" ht="12.75" customHeight="1" x14ac:dyDescent="0.3">
      <c r="A136" s="1"/>
      <c r="B136" s="1"/>
      <c r="C136" s="4"/>
      <c r="D136" s="4"/>
      <c r="E136" s="4"/>
      <c r="F136" s="4"/>
      <c r="G136" s="4"/>
    </row>
    <row r="137" spans="1:7" ht="12.75" customHeight="1" x14ac:dyDescent="0.3">
      <c r="A137" s="1"/>
      <c r="B137" s="1"/>
      <c r="C137" s="4"/>
      <c r="D137" s="4"/>
      <c r="E137" s="4"/>
      <c r="F137" s="4"/>
      <c r="G137" s="4"/>
    </row>
    <row r="138" spans="1:7" ht="12.75" customHeight="1" x14ac:dyDescent="0.3">
      <c r="A138" s="1"/>
      <c r="B138" s="1"/>
      <c r="C138" s="4"/>
      <c r="D138" s="4"/>
      <c r="E138" s="4"/>
      <c r="F138" s="4"/>
      <c r="G138" s="4"/>
    </row>
    <row r="139" spans="1:7" ht="12.75" customHeight="1" x14ac:dyDescent="0.3">
      <c r="A139" s="1"/>
      <c r="B139" s="1"/>
      <c r="C139" s="4"/>
      <c r="D139" s="4"/>
      <c r="E139" s="4"/>
      <c r="F139" s="4"/>
      <c r="G139" s="4"/>
    </row>
    <row r="140" spans="1:7" ht="12.75" customHeight="1" x14ac:dyDescent="0.3">
      <c r="A140" s="1"/>
      <c r="B140" s="1"/>
      <c r="C140" s="4"/>
      <c r="D140" s="4"/>
      <c r="E140" s="4"/>
      <c r="F140" s="4"/>
      <c r="G140" s="4"/>
    </row>
    <row r="141" spans="1:7" ht="12.75" customHeight="1" x14ac:dyDescent="0.3">
      <c r="A141" s="1"/>
      <c r="B141" s="1"/>
      <c r="C141" s="4"/>
      <c r="D141" s="4"/>
      <c r="E141" s="4"/>
      <c r="F141" s="4"/>
      <c r="G141" s="4"/>
    </row>
    <row r="142" spans="1:7" ht="12.75" customHeight="1" x14ac:dyDescent="0.3">
      <c r="A142" s="1"/>
      <c r="B142" s="1"/>
      <c r="C142" s="4"/>
      <c r="D142" s="4"/>
      <c r="E142" s="4"/>
      <c r="F142" s="4"/>
      <c r="G142" s="4"/>
    </row>
    <row r="143" spans="1:7" ht="12.75" customHeight="1" x14ac:dyDescent="0.3">
      <c r="A143" s="1"/>
      <c r="B143" s="1"/>
      <c r="C143" s="4"/>
      <c r="D143" s="4"/>
      <c r="E143" s="4"/>
      <c r="F143" s="4"/>
      <c r="G143" s="4"/>
    </row>
    <row r="144" spans="1:7" ht="12.75" customHeight="1" x14ac:dyDescent="0.3">
      <c r="A144" s="1"/>
      <c r="B144" s="1"/>
      <c r="C144" s="4"/>
      <c r="D144" s="4"/>
      <c r="E144" s="4"/>
      <c r="F144" s="4"/>
      <c r="G144" s="4"/>
    </row>
    <row r="145" spans="1:7" ht="12.75" customHeight="1" x14ac:dyDescent="0.3">
      <c r="A145" s="1"/>
      <c r="B145" s="1"/>
      <c r="C145" s="4"/>
      <c r="D145" s="4"/>
      <c r="E145" s="4"/>
      <c r="F145" s="4"/>
      <c r="G145" s="4"/>
    </row>
    <row r="146" spans="1:7" ht="12.75" customHeight="1" x14ac:dyDescent="0.3">
      <c r="A146" s="1"/>
      <c r="B146" s="1"/>
      <c r="C146" s="4"/>
      <c r="D146" s="4"/>
      <c r="E146" s="4"/>
      <c r="F146" s="4"/>
      <c r="G146" s="4"/>
    </row>
    <row r="147" spans="1:7" ht="12.75" customHeight="1" x14ac:dyDescent="0.3">
      <c r="A147" s="1"/>
      <c r="B147" s="1"/>
      <c r="C147" s="4"/>
      <c r="D147" s="4"/>
      <c r="E147" s="4"/>
      <c r="F147" s="4"/>
      <c r="G147" s="4"/>
    </row>
    <row r="148" spans="1:7" ht="12.75" customHeight="1" x14ac:dyDescent="0.3">
      <c r="A148" s="1"/>
      <c r="B148" s="1"/>
      <c r="C148" s="4"/>
      <c r="D148" s="4"/>
      <c r="E148" s="4"/>
      <c r="F148" s="4"/>
      <c r="G148" s="4"/>
    </row>
    <row r="149" spans="1:7" ht="12.75" customHeight="1" x14ac:dyDescent="0.3">
      <c r="A149" s="1"/>
      <c r="B149" s="1"/>
      <c r="C149" s="4"/>
      <c r="D149" s="4"/>
      <c r="E149" s="4"/>
      <c r="F149" s="4"/>
      <c r="G149" s="4"/>
    </row>
    <row r="150" spans="1:7" ht="12.75" customHeight="1" x14ac:dyDescent="0.3">
      <c r="A150" s="1"/>
      <c r="B150" s="1"/>
      <c r="C150" s="4"/>
      <c r="D150" s="4"/>
      <c r="E150" s="4"/>
      <c r="F150" s="4"/>
      <c r="G150" s="4"/>
    </row>
    <row r="151" spans="1:7" ht="12.75" customHeight="1" x14ac:dyDescent="0.3">
      <c r="A151" s="1"/>
      <c r="B151" s="1"/>
      <c r="C151" s="4"/>
      <c r="D151" s="4"/>
      <c r="E151" s="4"/>
      <c r="F151" s="4"/>
      <c r="G151" s="4"/>
    </row>
    <row r="152" spans="1:7" ht="12.75" customHeight="1" x14ac:dyDescent="0.3">
      <c r="A152" s="1"/>
      <c r="B152" s="1"/>
      <c r="C152" s="4"/>
      <c r="D152" s="4"/>
      <c r="E152" s="4"/>
      <c r="F152" s="4"/>
      <c r="G152" s="4"/>
    </row>
    <row r="153" spans="1:7" ht="12.75" customHeight="1" x14ac:dyDescent="0.3">
      <c r="A153" s="1"/>
      <c r="B153" s="1"/>
      <c r="C153" s="4"/>
      <c r="D153" s="4"/>
      <c r="E153" s="4"/>
      <c r="F153" s="4"/>
      <c r="G153" s="4"/>
    </row>
    <row r="154" spans="1:7" ht="12.75" customHeight="1" x14ac:dyDescent="0.3">
      <c r="A154" s="1"/>
      <c r="B154" s="1"/>
      <c r="C154" s="4"/>
      <c r="D154" s="4"/>
      <c r="E154" s="4"/>
      <c r="F154" s="4"/>
      <c r="G154" s="4"/>
    </row>
    <row r="155" spans="1:7" ht="12.75" customHeight="1" x14ac:dyDescent="0.3">
      <c r="A155" s="1"/>
      <c r="B155" s="1"/>
      <c r="C155" s="4"/>
      <c r="D155" s="4"/>
      <c r="E155" s="4"/>
      <c r="F155" s="4"/>
      <c r="G155" s="4"/>
    </row>
    <row r="156" spans="1:7" ht="12.75" customHeight="1" x14ac:dyDescent="0.3">
      <c r="A156" s="1"/>
      <c r="B156" s="1"/>
      <c r="C156" s="4"/>
      <c r="D156" s="4"/>
      <c r="E156" s="4"/>
      <c r="F156" s="4"/>
      <c r="G156" s="4"/>
    </row>
    <row r="157" spans="1:7" ht="12.75" customHeight="1" x14ac:dyDescent="0.3">
      <c r="A157" s="1"/>
      <c r="B157" s="1"/>
      <c r="C157" s="4"/>
      <c r="D157" s="4"/>
      <c r="E157" s="4"/>
      <c r="F157" s="4"/>
      <c r="G157" s="4"/>
    </row>
    <row r="158" spans="1:7" ht="12.75" customHeight="1" x14ac:dyDescent="0.3">
      <c r="A158" s="1"/>
      <c r="B158" s="1"/>
      <c r="C158" s="4"/>
      <c r="D158" s="4"/>
      <c r="E158" s="4"/>
      <c r="F158" s="4"/>
      <c r="G158" s="4"/>
    </row>
    <row r="159" spans="1:7" ht="12.75" customHeight="1" x14ac:dyDescent="0.3">
      <c r="A159" s="1"/>
      <c r="B159" s="1"/>
      <c r="C159" s="4"/>
      <c r="D159" s="4"/>
      <c r="E159" s="4"/>
      <c r="F159" s="4"/>
      <c r="G159" s="4"/>
    </row>
    <row r="160" spans="1:7" ht="12.75" customHeight="1" x14ac:dyDescent="0.3">
      <c r="A160" s="1"/>
      <c r="B160" s="1"/>
      <c r="C160" s="4"/>
      <c r="D160" s="4"/>
      <c r="E160" s="4"/>
      <c r="F160" s="4"/>
      <c r="G160" s="4"/>
    </row>
    <row r="161" spans="1:7" ht="12.75" customHeight="1" x14ac:dyDescent="0.3">
      <c r="A161" s="1"/>
      <c r="B161" s="1"/>
      <c r="C161" s="4"/>
      <c r="D161" s="4"/>
      <c r="E161" s="4"/>
      <c r="F161" s="4"/>
      <c r="G161" s="4"/>
    </row>
    <row r="162" spans="1:7" ht="12.75" customHeight="1" x14ac:dyDescent="0.3">
      <c r="A162" s="1"/>
      <c r="B162" s="1"/>
      <c r="C162" s="4"/>
      <c r="D162" s="4"/>
      <c r="E162" s="4"/>
      <c r="F162" s="4"/>
      <c r="G162" s="4"/>
    </row>
    <row r="163" spans="1:7" ht="12.75" customHeight="1" x14ac:dyDescent="0.3">
      <c r="A163" s="1"/>
      <c r="B163" s="1"/>
      <c r="C163" s="4"/>
      <c r="D163" s="4"/>
      <c r="E163" s="4"/>
      <c r="F163" s="4"/>
      <c r="G163" s="4"/>
    </row>
    <row r="164" spans="1:7" ht="12.75" customHeight="1" x14ac:dyDescent="0.3">
      <c r="A164" s="1"/>
      <c r="B164" s="1"/>
      <c r="C164" s="4"/>
      <c r="D164" s="4"/>
      <c r="E164" s="4"/>
      <c r="F164" s="4"/>
      <c r="G164" s="4"/>
    </row>
    <row r="165" spans="1:7" ht="12.75" customHeight="1" x14ac:dyDescent="0.3">
      <c r="A165" s="1"/>
      <c r="B165" s="1"/>
      <c r="C165" s="4"/>
      <c r="D165" s="4"/>
      <c r="E165" s="4"/>
      <c r="F165" s="4"/>
      <c r="G165" s="4"/>
    </row>
    <row r="166" spans="1:7" ht="12.75" customHeight="1" x14ac:dyDescent="0.3">
      <c r="A166" s="1"/>
      <c r="B166" s="1"/>
      <c r="C166" s="4"/>
      <c r="D166" s="4"/>
      <c r="E166" s="4"/>
      <c r="F166" s="4"/>
      <c r="G166" s="4"/>
    </row>
    <row r="167" spans="1:7" ht="12.75" customHeight="1" x14ac:dyDescent="0.3">
      <c r="A167" s="1"/>
      <c r="B167" s="1"/>
      <c r="C167" s="4"/>
      <c r="D167" s="4"/>
      <c r="E167" s="4"/>
      <c r="F167" s="4"/>
      <c r="G167" s="4"/>
    </row>
    <row r="168" spans="1:7" ht="12.75" customHeight="1" x14ac:dyDescent="0.3">
      <c r="A168" s="1"/>
      <c r="B168" s="1"/>
      <c r="C168" s="4"/>
      <c r="D168" s="4"/>
      <c r="E168" s="4"/>
      <c r="F168" s="4"/>
      <c r="G168" s="4"/>
    </row>
    <row r="169" spans="1:7" ht="12.75" customHeight="1" x14ac:dyDescent="0.3">
      <c r="A169" s="1"/>
      <c r="B169" s="1"/>
      <c r="C169" s="4"/>
      <c r="D169" s="4"/>
      <c r="E169" s="4"/>
      <c r="F169" s="4"/>
      <c r="G169" s="4"/>
    </row>
    <row r="170" spans="1:7" ht="12.75" customHeight="1" x14ac:dyDescent="0.3">
      <c r="A170" s="1"/>
      <c r="B170" s="1"/>
      <c r="C170" s="4"/>
      <c r="D170" s="4"/>
      <c r="E170" s="4"/>
      <c r="F170" s="4"/>
      <c r="G170" s="4"/>
    </row>
    <row r="171" spans="1:7" ht="12.75" customHeight="1" x14ac:dyDescent="0.3">
      <c r="A171" s="1"/>
      <c r="B171" s="1"/>
      <c r="C171" s="4"/>
      <c r="D171" s="4"/>
      <c r="E171" s="4"/>
      <c r="F171" s="4"/>
      <c r="G171" s="4"/>
    </row>
    <row r="172" spans="1:7" ht="12.75" customHeight="1" x14ac:dyDescent="0.3">
      <c r="A172" s="1"/>
      <c r="B172" s="1"/>
      <c r="C172" s="4"/>
      <c r="D172" s="4"/>
      <c r="E172" s="4"/>
      <c r="F172" s="4"/>
      <c r="G172" s="4"/>
    </row>
    <row r="173" spans="1:7" ht="12.75" customHeight="1" x14ac:dyDescent="0.3">
      <c r="A173" s="1"/>
      <c r="B173" s="1"/>
      <c r="C173" s="4"/>
      <c r="D173" s="4"/>
      <c r="E173" s="4"/>
      <c r="F173" s="4"/>
      <c r="G173" s="4"/>
    </row>
    <row r="174" spans="1:7" ht="12.75" customHeight="1" x14ac:dyDescent="0.3">
      <c r="A174" s="1"/>
      <c r="B174" s="1"/>
      <c r="C174" s="4"/>
      <c r="D174" s="4"/>
      <c r="E174" s="4"/>
      <c r="F174" s="4"/>
      <c r="G174" s="4"/>
    </row>
    <row r="175" spans="1:7" ht="12.75" customHeight="1" x14ac:dyDescent="0.3">
      <c r="A175" s="1"/>
      <c r="B175" s="1"/>
      <c r="C175" s="4"/>
      <c r="D175" s="4"/>
      <c r="E175" s="4"/>
      <c r="F175" s="4"/>
      <c r="G175" s="4"/>
    </row>
    <row r="176" spans="1:7" ht="12.75" customHeight="1" x14ac:dyDescent="0.3">
      <c r="A176" s="1"/>
      <c r="B176" s="1"/>
      <c r="C176" s="4"/>
      <c r="D176" s="4"/>
      <c r="E176" s="4"/>
      <c r="F176" s="4"/>
      <c r="G176" s="4"/>
    </row>
    <row r="177" spans="1:7" ht="12.75" customHeight="1" x14ac:dyDescent="0.3">
      <c r="A177" s="1"/>
      <c r="B177" s="1"/>
      <c r="C177" s="4"/>
      <c r="D177" s="4"/>
      <c r="E177" s="4"/>
      <c r="F177" s="4"/>
      <c r="G177" s="4"/>
    </row>
    <row r="178" spans="1:7" ht="12.75" customHeight="1" x14ac:dyDescent="0.3">
      <c r="A178" s="1"/>
      <c r="B178" s="1"/>
      <c r="C178" s="4"/>
      <c r="D178" s="4"/>
      <c r="E178" s="4"/>
      <c r="F178" s="4"/>
      <c r="G178" s="4"/>
    </row>
    <row r="179" spans="1:7" ht="12.75" customHeight="1" x14ac:dyDescent="0.3">
      <c r="A179" s="1"/>
      <c r="B179" s="1"/>
      <c r="C179" s="4"/>
      <c r="D179" s="4"/>
      <c r="E179" s="4"/>
      <c r="F179" s="4"/>
      <c r="G179" s="4"/>
    </row>
    <row r="180" spans="1:7" ht="12.75" customHeight="1" x14ac:dyDescent="0.3">
      <c r="A180" s="1"/>
      <c r="B180" s="1"/>
      <c r="C180" s="4"/>
      <c r="D180" s="4"/>
      <c r="E180" s="4"/>
      <c r="F180" s="4"/>
      <c r="G180" s="4"/>
    </row>
    <row r="181" spans="1:7" ht="12.75" customHeight="1" x14ac:dyDescent="0.3">
      <c r="A181" s="1"/>
      <c r="B181" s="1"/>
      <c r="C181" s="4"/>
      <c r="D181" s="4"/>
      <c r="E181" s="4"/>
      <c r="F181" s="4"/>
      <c r="G181" s="4"/>
    </row>
    <row r="182" spans="1:7" ht="12.75" customHeight="1" x14ac:dyDescent="0.3">
      <c r="A182" s="1"/>
      <c r="B182" s="1"/>
      <c r="C182" s="4"/>
      <c r="D182" s="4"/>
      <c r="E182" s="4"/>
      <c r="F182" s="4"/>
      <c r="G182" s="4"/>
    </row>
    <row r="183" spans="1:7" ht="12.75" customHeight="1" x14ac:dyDescent="0.3">
      <c r="A183" s="1"/>
      <c r="B183" s="1"/>
      <c r="C183" s="4"/>
      <c r="D183" s="4"/>
      <c r="E183" s="4"/>
      <c r="F183" s="4"/>
      <c r="G183" s="4"/>
    </row>
    <row r="184" spans="1:7" ht="12.75" customHeight="1" x14ac:dyDescent="0.3">
      <c r="A184" s="1"/>
      <c r="B184" s="1"/>
      <c r="C184" s="4"/>
      <c r="D184" s="4"/>
      <c r="E184" s="4"/>
      <c r="F184" s="4"/>
      <c r="G184" s="4"/>
    </row>
    <row r="185" spans="1:7" ht="12.75" customHeight="1" x14ac:dyDescent="0.3">
      <c r="A185" s="1"/>
      <c r="B185" s="1"/>
      <c r="C185" s="4"/>
      <c r="D185" s="4"/>
      <c r="E185" s="4"/>
      <c r="F185" s="4"/>
      <c r="G185" s="4"/>
    </row>
    <row r="186" spans="1:7" ht="12.75" customHeight="1" x14ac:dyDescent="0.3">
      <c r="A186" s="1"/>
      <c r="B186" s="1"/>
      <c r="C186" s="4"/>
      <c r="D186" s="4"/>
      <c r="E186" s="4"/>
      <c r="F186" s="4"/>
      <c r="G186" s="4"/>
    </row>
    <row r="187" spans="1:7" ht="12.75" customHeight="1" x14ac:dyDescent="0.3">
      <c r="A187" s="1"/>
      <c r="B187" s="1"/>
      <c r="C187" s="4"/>
      <c r="D187" s="4"/>
      <c r="E187" s="4"/>
      <c r="F187" s="4"/>
      <c r="G187" s="4"/>
    </row>
    <row r="188" spans="1:7" ht="12.75" customHeight="1" x14ac:dyDescent="0.3">
      <c r="A188" s="1"/>
      <c r="B188" s="1"/>
      <c r="C188" s="4"/>
      <c r="D188" s="4"/>
      <c r="E188" s="4"/>
      <c r="F188" s="4"/>
      <c r="G188" s="4"/>
    </row>
    <row r="189" spans="1:7" ht="12.75" customHeight="1" x14ac:dyDescent="0.3">
      <c r="A189" s="1"/>
      <c r="B189" s="1"/>
      <c r="C189" s="4"/>
      <c r="D189" s="4"/>
      <c r="E189" s="4"/>
      <c r="F189" s="4"/>
      <c r="G189" s="4"/>
    </row>
    <row r="190" spans="1:7" ht="12.75" customHeight="1" x14ac:dyDescent="0.3">
      <c r="A190" s="1"/>
      <c r="B190" s="1"/>
      <c r="C190" s="4"/>
      <c r="D190" s="4"/>
      <c r="E190" s="4"/>
      <c r="F190" s="4"/>
      <c r="G190" s="4"/>
    </row>
    <row r="191" spans="1:7" ht="12.75" customHeight="1" x14ac:dyDescent="0.3">
      <c r="A191" s="1"/>
      <c r="B191" s="1"/>
      <c r="C191" s="4"/>
      <c r="D191" s="4"/>
      <c r="E191" s="4"/>
      <c r="F191" s="4"/>
      <c r="G191" s="4"/>
    </row>
    <row r="192" spans="1:7" ht="12.75" customHeight="1" x14ac:dyDescent="0.3">
      <c r="A192" s="1"/>
      <c r="B192" s="1"/>
      <c r="C192" s="4"/>
      <c r="D192" s="4"/>
      <c r="E192" s="4"/>
      <c r="F192" s="4"/>
      <c r="G192" s="4"/>
    </row>
    <row r="193" spans="1:7" ht="12.75" customHeight="1" x14ac:dyDescent="0.3">
      <c r="A193" s="1"/>
      <c r="B193" s="1"/>
      <c r="C193" s="4"/>
      <c r="D193" s="4"/>
      <c r="E193" s="4"/>
      <c r="F193" s="4"/>
      <c r="G193" s="4"/>
    </row>
    <row r="194" spans="1:7" ht="12.75" customHeight="1" x14ac:dyDescent="0.3">
      <c r="A194" s="1"/>
      <c r="B194" s="1"/>
      <c r="C194" s="4"/>
      <c r="D194" s="4"/>
      <c r="E194" s="4"/>
      <c r="F194" s="4"/>
      <c r="G194" s="4"/>
    </row>
    <row r="195" spans="1:7" ht="12.75" customHeight="1" x14ac:dyDescent="0.3">
      <c r="A195" s="1"/>
      <c r="B195" s="1"/>
      <c r="C195" s="4"/>
      <c r="D195" s="4"/>
      <c r="E195" s="4"/>
      <c r="F195" s="4"/>
      <c r="G195" s="4"/>
    </row>
    <row r="196" spans="1:7" ht="12.75" customHeight="1" x14ac:dyDescent="0.3">
      <c r="A196" s="1"/>
      <c r="B196" s="1"/>
      <c r="C196" s="4"/>
      <c r="D196" s="4"/>
      <c r="E196" s="4"/>
      <c r="F196" s="4"/>
      <c r="G196" s="4"/>
    </row>
    <row r="197" spans="1:7" ht="12.75" customHeight="1" x14ac:dyDescent="0.3">
      <c r="A197" s="1"/>
      <c r="B197" s="1"/>
      <c r="C197" s="4"/>
      <c r="D197" s="4"/>
      <c r="E197" s="4"/>
      <c r="F197" s="4"/>
      <c r="G197" s="4"/>
    </row>
    <row r="198" spans="1:7" ht="12.75" customHeight="1" x14ac:dyDescent="0.3">
      <c r="A198" s="1"/>
      <c r="B198" s="1"/>
      <c r="C198" s="4"/>
      <c r="D198" s="4"/>
      <c r="E198" s="4"/>
      <c r="F198" s="4"/>
      <c r="G198" s="4"/>
    </row>
    <row r="199" spans="1:7" ht="12.75" customHeight="1" x14ac:dyDescent="0.3">
      <c r="A199" s="1"/>
      <c r="B199" s="1"/>
      <c r="C199" s="4"/>
      <c r="D199" s="4"/>
      <c r="E199" s="4"/>
      <c r="F199" s="4"/>
      <c r="G199" s="4"/>
    </row>
    <row r="200" spans="1:7" ht="12.75" customHeight="1" x14ac:dyDescent="0.3">
      <c r="A200" s="1"/>
      <c r="B200" s="1"/>
      <c r="C200" s="4"/>
      <c r="D200" s="4"/>
      <c r="E200" s="4"/>
      <c r="F200" s="4"/>
      <c r="G200" s="4"/>
    </row>
    <row r="201" spans="1:7" ht="12.75" customHeight="1" x14ac:dyDescent="0.3">
      <c r="A201" s="1"/>
      <c r="B201" s="1"/>
      <c r="C201" s="4"/>
      <c r="D201" s="4"/>
      <c r="E201" s="4"/>
      <c r="F201" s="4"/>
      <c r="G201" s="4"/>
    </row>
    <row r="202" spans="1:7" ht="12.75" customHeight="1" x14ac:dyDescent="0.3">
      <c r="A202" s="1"/>
      <c r="B202" s="1"/>
      <c r="C202" s="4"/>
      <c r="D202" s="4"/>
      <c r="E202" s="4"/>
      <c r="F202" s="4"/>
      <c r="G202" s="4"/>
    </row>
    <row r="203" spans="1:7" ht="12.75" customHeight="1" x14ac:dyDescent="0.3">
      <c r="A203" s="1"/>
      <c r="B203" s="1"/>
      <c r="C203" s="4"/>
      <c r="D203" s="4"/>
      <c r="E203" s="4"/>
      <c r="F203" s="4"/>
      <c r="G203" s="4"/>
    </row>
    <row r="204" spans="1:7" ht="12.75" customHeight="1" x14ac:dyDescent="0.3">
      <c r="A204" s="1"/>
      <c r="B204" s="1"/>
      <c r="C204" s="4"/>
      <c r="D204" s="4"/>
      <c r="E204" s="4"/>
      <c r="F204" s="4"/>
      <c r="G204" s="4"/>
    </row>
    <row r="205" spans="1:7" ht="12.75" customHeight="1" x14ac:dyDescent="0.3">
      <c r="A205" s="1"/>
      <c r="B205" s="1"/>
      <c r="C205" s="4"/>
      <c r="D205" s="4"/>
      <c r="E205" s="4"/>
      <c r="F205" s="4"/>
      <c r="G205" s="4"/>
    </row>
    <row r="206" spans="1:7" ht="12.75" customHeight="1" x14ac:dyDescent="0.3">
      <c r="A206" s="1"/>
      <c r="B206" s="1"/>
      <c r="C206" s="4"/>
      <c r="D206" s="4"/>
      <c r="E206" s="4"/>
      <c r="F206" s="4"/>
      <c r="G206" s="4"/>
    </row>
    <row r="207" spans="1:7" ht="12.75" customHeight="1" x14ac:dyDescent="0.3">
      <c r="A207" s="1"/>
      <c r="B207" s="1"/>
      <c r="C207" s="4"/>
      <c r="D207" s="4"/>
      <c r="E207" s="4"/>
      <c r="F207" s="4"/>
      <c r="G207" s="4"/>
    </row>
    <row r="208" spans="1:7" ht="12.75" customHeight="1" x14ac:dyDescent="0.3">
      <c r="A208" s="1"/>
      <c r="B208" s="1"/>
      <c r="C208" s="4"/>
      <c r="D208" s="4"/>
      <c r="E208" s="4"/>
      <c r="F208" s="4"/>
      <c r="G208" s="4"/>
    </row>
    <row r="209" spans="1:7" ht="12.75" customHeight="1" x14ac:dyDescent="0.3">
      <c r="A209" s="1"/>
      <c r="B209" s="1"/>
      <c r="C209" s="4"/>
      <c r="D209" s="4"/>
      <c r="E209" s="4"/>
      <c r="F209" s="4"/>
      <c r="G209" s="4"/>
    </row>
    <row r="210" spans="1:7" ht="12.75" customHeight="1" x14ac:dyDescent="0.3">
      <c r="A210" s="1"/>
      <c r="B210" s="1"/>
      <c r="C210" s="4"/>
      <c r="D210" s="4"/>
      <c r="E210" s="4"/>
      <c r="F210" s="4"/>
      <c r="G210" s="4"/>
    </row>
    <row r="211" spans="1:7" ht="12.75" customHeight="1" x14ac:dyDescent="0.3">
      <c r="A211" s="1"/>
      <c r="B211" s="1"/>
      <c r="C211" s="4"/>
      <c r="D211" s="4"/>
      <c r="E211" s="4"/>
      <c r="F211" s="4"/>
      <c r="G211" s="4"/>
    </row>
    <row r="212" spans="1:7" ht="12.75" customHeight="1" x14ac:dyDescent="0.3">
      <c r="A212" s="1"/>
      <c r="B212" s="1"/>
      <c r="C212" s="4"/>
      <c r="D212" s="4"/>
      <c r="E212" s="4"/>
      <c r="F212" s="4"/>
      <c r="G212" s="4"/>
    </row>
    <row r="213" spans="1:7" ht="12.75" customHeight="1" x14ac:dyDescent="0.3">
      <c r="A213" s="1"/>
      <c r="B213" s="1"/>
      <c r="C213" s="4"/>
      <c r="D213" s="4"/>
      <c r="E213" s="4"/>
      <c r="F213" s="4"/>
      <c r="G213" s="4"/>
    </row>
    <row r="214" spans="1:7" ht="12.75" customHeight="1" x14ac:dyDescent="0.3">
      <c r="A214" s="1"/>
      <c r="B214" s="1"/>
      <c r="C214" s="4"/>
      <c r="D214" s="4"/>
      <c r="E214" s="4"/>
      <c r="F214" s="4"/>
      <c r="G214" s="4"/>
    </row>
    <row r="215" spans="1:7" ht="12.75" customHeight="1" x14ac:dyDescent="0.3">
      <c r="A215" s="1"/>
      <c r="B215" s="1"/>
      <c r="C215" s="4"/>
      <c r="D215" s="4"/>
      <c r="E215" s="4"/>
      <c r="F215" s="4"/>
      <c r="G215" s="4"/>
    </row>
    <row r="216" spans="1:7" ht="12.75" customHeight="1" x14ac:dyDescent="0.3">
      <c r="A216" s="1"/>
      <c r="B216" s="1"/>
      <c r="C216" s="4"/>
      <c r="D216" s="4"/>
      <c r="E216" s="4"/>
      <c r="F216" s="4"/>
      <c r="G216" s="4"/>
    </row>
    <row r="217" spans="1:7" ht="12.75" customHeight="1" x14ac:dyDescent="0.3">
      <c r="A217" s="1"/>
      <c r="B217" s="1"/>
      <c r="C217" s="4"/>
      <c r="D217" s="4"/>
      <c r="E217" s="4"/>
      <c r="F217" s="4"/>
      <c r="G217" s="4"/>
    </row>
    <row r="218" spans="1:7" ht="12.75" customHeight="1" x14ac:dyDescent="0.3">
      <c r="A218" s="1"/>
      <c r="B218" s="1"/>
      <c r="C218" s="4"/>
      <c r="D218" s="4"/>
      <c r="E218" s="4"/>
      <c r="F218" s="4"/>
      <c r="G218" s="4"/>
    </row>
    <row r="219" spans="1:7" ht="12.75" customHeight="1" x14ac:dyDescent="0.3">
      <c r="A219" s="1"/>
      <c r="B219" s="1"/>
      <c r="C219" s="4"/>
      <c r="D219" s="4"/>
      <c r="E219" s="4"/>
      <c r="F219" s="4"/>
      <c r="G219" s="4"/>
    </row>
    <row r="220" spans="1:7" ht="12.75" customHeight="1" x14ac:dyDescent="0.3">
      <c r="A220" s="1"/>
      <c r="B220" s="1"/>
      <c r="C220" s="4"/>
      <c r="D220" s="4"/>
      <c r="E220" s="4"/>
      <c r="F220" s="4"/>
      <c r="G220" s="4"/>
    </row>
    <row r="221" spans="1:7" ht="12.75" customHeight="1" x14ac:dyDescent="0.3">
      <c r="A221" s="1"/>
      <c r="B221" s="1"/>
      <c r="C221" s="4"/>
      <c r="D221" s="4"/>
      <c r="E221" s="4"/>
      <c r="F221" s="4"/>
      <c r="G221" s="4"/>
    </row>
    <row r="222" spans="1:7" ht="12.75" customHeight="1" x14ac:dyDescent="0.3">
      <c r="A222" s="1"/>
      <c r="B222" s="1"/>
      <c r="C222" s="4"/>
      <c r="D222" s="4"/>
      <c r="E222" s="4"/>
      <c r="F222" s="4"/>
      <c r="G222" s="4"/>
    </row>
    <row r="223" spans="1:7" ht="12.75" customHeight="1" x14ac:dyDescent="0.3">
      <c r="A223" s="1"/>
      <c r="B223" s="1"/>
      <c r="C223" s="4"/>
      <c r="D223" s="4"/>
      <c r="E223" s="4"/>
      <c r="F223" s="4"/>
      <c r="G223" s="4"/>
    </row>
    <row r="224" spans="1:7" ht="12.75" customHeight="1" x14ac:dyDescent="0.3">
      <c r="A224" s="1"/>
      <c r="B224" s="1"/>
      <c r="C224" s="4"/>
      <c r="D224" s="4"/>
      <c r="E224" s="4"/>
      <c r="F224" s="4"/>
      <c r="G224" s="4"/>
    </row>
    <row r="225" spans="1:7" ht="12.75" customHeight="1" x14ac:dyDescent="0.3">
      <c r="A225" s="1"/>
      <c r="B225" s="1"/>
      <c r="C225" s="4"/>
      <c r="D225" s="4"/>
      <c r="E225" s="4"/>
      <c r="F225" s="4"/>
      <c r="G225" s="4"/>
    </row>
    <row r="226" spans="1:7" ht="12.75" customHeight="1" x14ac:dyDescent="0.3">
      <c r="A226" s="1"/>
      <c r="B226" s="1"/>
      <c r="C226" s="4"/>
      <c r="D226" s="4"/>
      <c r="E226" s="4"/>
      <c r="F226" s="4"/>
      <c r="G226" s="4"/>
    </row>
    <row r="227" spans="1:7" ht="12.75" customHeight="1" x14ac:dyDescent="0.3">
      <c r="A227" s="1"/>
      <c r="B227" s="1"/>
      <c r="C227" s="4"/>
      <c r="D227" s="4"/>
      <c r="E227" s="4"/>
      <c r="F227" s="4"/>
      <c r="G227" s="4"/>
    </row>
    <row r="228" spans="1:7" ht="12.75" customHeight="1" x14ac:dyDescent="0.3">
      <c r="A228" s="1"/>
      <c r="B228" s="1"/>
      <c r="C228" s="4"/>
      <c r="D228" s="4"/>
      <c r="E228" s="4"/>
      <c r="F228" s="4"/>
      <c r="G228" s="4"/>
    </row>
    <row r="229" spans="1:7" ht="12.75" customHeight="1" x14ac:dyDescent="0.3">
      <c r="A229" s="1"/>
      <c r="B229" s="1"/>
      <c r="C229" s="4"/>
      <c r="D229" s="4"/>
      <c r="E229" s="4"/>
      <c r="F229" s="4"/>
      <c r="G229" s="4"/>
    </row>
    <row r="230" spans="1:7" ht="12.75" customHeight="1" x14ac:dyDescent="0.3">
      <c r="A230" s="1"/>
      <c r="B230" s="1"/>
      <c r="C230" s="4"/>
      <c r="D230" s="4"/>
      <c r="E230" s="4"/>
      <c r="F230" s="4"/>
      <c r="G230" s="4"/>
    </row>
    <row r="231" spans="1:7" ht="12.75" customHeight="1" x14ac:dyDescent="0.3">
      <c r="A231" s="1"/>
      <c r="B231" s="1"/>
      <c r="C231" s="4"/>
      <c r="D231" s="4"/>
      <c r="E231" s="4"/>
      <c r="F231" s="4"/>
      <c r="G231" s="4"/>
    </row>
    <row r="232" spans="1:7" ht="12.75" customHeight="1" x14ac:dyDescent="0.3">
      <c r="A232" s="1"/>
      <c r="B232" s="1"/>
      <c r="C232" s="4"/>
      <c r="D232" s="4"/>
      <c r="E232" s="4"/>
      <c r="F232" s="4"/>
      <c r="G232" s="4"/>
    </row>
    <row r="233" spans="1:7" ht="12.75" customHeight="1" x14ac:dyDescent="0.3">
      <c r="A233" s="1"/>
      <c r="B233" s="1"/>
      <c r="C233" s="4"/>
      <c r="D233" s="4"/>
      <c r="E233" s="4"/>
      <c r="F233" s="4"/>
      <c r="G233" s="4"/>
    </row>
    <row r="234" spans="1:7" ht="12.75" customHeight="1" x14ac:dyDescent="0.3">
      <c r="A234" s="1"/>
      <c r="B234" s="1"/>
      <c r="C234" s="4"/>
      <c r="D234" s="4"/>
      <c r="E234" s="4"/>
      <c r="F234" s="4"/>
      <c r="G234" s="4"/>
    </row>
    <row r="235" spans="1:7" ht="12.75" customHeight="1" x14ac:dyDescent="0.3">
      <c r="A235" s="1"/>
      <c r="B235" s="1"/>
      <c r="C235" s="4"/>
      <c r="D235" s="4"/>
      <c r="E235" s="4"/>
      <c r="F235" s="4"/>
      <c r="G235" s="4"/>
    </row>
    <row r="236" spans="1:7" ht="12.75" customHeight="1" x14ac:dyDescent="0.3">
      <c r="A236" s="1"/>
      <c r="B236" s="1"/>
      <c r="C236" s="4"/>
      <c r="D236" s="4"/>
      <c r="E236" s="4"/>
      <c r="F236" s="4"/>
      <c r="G236" s="4"/>
    </row>
    <row r="237" spans="1:7" ht="12.75" customHeight="1" x14ac:dyDescent="0.3">
      <c r="A237" s="1"/>
      <c r="B237" s="1"/>
      <c r="C237" s="4"/>
      <c r="D237" s="4"/>
      <c r="E237" s="4"/>
      <c r="F237" s="4"/>
      <c r="G237" s="4"/>
    </row>
    <row r="238" spans="1:7" ht="12.75" customHeight="1" x14ac:dyDescent="0.3">
      <c r="A238" s="1"/>
      <c r="B238" s="1"/>
      <c r="C238" s="4"/>
      <c r="D238" s="4"/>
      <c r="E238" s="4"/>
      <c r="F238" s="4"/>
      <c r="G238" s="4"/>
    </row>
    <row r="239" spans="1:7" ht="12.75" customHeight="1" x14ac:dyDescent="0.3">
      <c r="A239" s="1"/>
      <c r="B239" s="1"/>
      <c r="C239" s="4"/>
      <c r="D239" s="4"/>
      <c r="E239" s="4"/>
      <c r="F239" s="4"/>
      <c r="G239" s="4"/>
    </row>
    <row r="240" spans="1:7" ht="12.75" customHeight="1" x14ac:dyDescent="0.3">
      <c r="A240" s="1"/>
      <c r="B240" s="1"/>
      <c r="C240" s="4"/>
      <c r="D240" s="4"/>
      <c r="E240" s="4"/>
      <c r="F240" s="4"/>
      <c r="G240" s="4"/>
    </row>
    <row r="241" spans="1:7" ht="12.75" customHeight="1" x14ac:dyDescent="0.3">
      <c r="A241" s="1"/>
      <c r="B241" s="1"/>
      <c r="C241" s="4"/>
      <c r="D241" s="4"/>
      <c r="E241" s="4"/>
      <c r="F241" s="4"/>
      <c r="G241" s="4"/>
    </row>
    <row r="242" spans="1:7" ht="12.75" customHeight="1" x14ac:dyDescent="0.3">
      <c r="A242" s="1"/>
      <c r="B242" s="1"/>
      <c r="C242" s="4"/>
      <c r="D242" s="4"/>
      <c r="E242" s="4"/>
      <c r="F242" s="4"/>
      <c r="G242" s="4"/>
    </row>
    <row r="243" spans="1:7" ht="12.75" customHeight="1" x14ac:dyDescent="0.3">
      <c r="A243" s="1"/>
      <c r="B243" s="1"/>
      <c r="C243" s="4"/>
      <c r="D243" s="4"/>
      <c r="E243" s="4"/>
      <c r="F243" s="4"/>
      <c r="G243" s="4"/>
    </row>
    <row r="244" spans="1:7" ht="12.75" customHeight="1" x14ac:dyDescent="0.3">
      <c r="A244" s="1"/>
      <c r="B244" s="1"/>
      <c r="C244" s="4"/>
      <c r="D244" s="4"/>
      <c r="E244" s="4"/>
      <c r="F244" s="4"/>
      <c r="G244" s="4"/>
    </row>
    <row r="245" spans="1:7" ht="12.75" customHeight="1" x14ac:dyDescent="0.3">
      <c r="A245" s="1"/>
      <c r="B245" s="1"/>
      <c r="C245" s="4"/>
      <c r="D245" s="4"/>
      <c r="E245" s="4"/>
      <c r="F245" s="4"/>
      <c r="G245" s="4"/>
    </row>
    <row r="246" spans="1:7" ht="12.75" customHeight="1" x14ac:dyDescent="0.3">
      <c r="A246" s="1"/>
      <c r="B246" s="1"/>
      <c r="C246" s="4"/>
      <c r="D246" s="4"/>
      <c r="E246" s="4"/>
      <c r="F246" s="4"/>
      <c r="G246" s="4"/>
    </row>
    <row r="247" spans="1:7" ht="12.75" customHeight="1" x14ac:dyDescent="0.3">
      <c r="A247" s="1"/>
      <c r="B247" s="1"/>
      <c r="C247" s="4"/>
      <c r="D247" s="4"/>
      <c r="E247" s="4"/>
      <c r="F247" s="4"/>
      <c r="G247" s="4"/>
    </row>
    <row r="248" spans="1:7" ht="12.75" customHeight="1" x14ac:dyDescent="0.3">
      <c r="A248" s="1"/>
      <c r="B248" s="1"/>
      <c r="C248" s="4"/>
      <c r="D248" s="4"/>
      <c r="E248" s="4"/>
      <c r="F248" s="4"/>
      <c r="G248" s="4"/>
    </row>
    <row r="249" spans="1:7" ht="12.75" customHeight="1" x14ac:dyDescent="0.3">
      <c r="A249" s="1"/>
      <c r="B249" s="1"/>
      <c r="C249" s="4"/>
      <c r="D249" s="4"/>
      <c r="E249" s="4"/>
      <c r="F249" s="4"/>
      <c r="G249" s="4"/>
    </row>
    <row r="250" spans="1:7" ht="12.75" customHeight="1" x14ac:dyDescent="0.3">
      <c r="A250" s="1"/>
      <c r="B250" s="1"/>
      <c r="C250" s="4"/>
      <c r="D250" s="4"/>
      <c r="E250" s="4"/>
      <c r="F250" s="4"/>
      <c r="G250" s="4"/>
    </row>
    <row r="251" spans="1:7" ht="12.75" customHeight="1" x14ac:dyDescent="0.3">
      <c r="A251" s="1"/>
      <c r="B251" s="1"/>
      <c r="C251" s="4"/>
      <c r="D251" s="4"/>
      <c r="E251" s="4"/>
      <c r="F251" s="4"/>
      <c r="G251" s="4"/>
    </row>
    <row r="252" spans="1:7" ht="12.75" customHeight="1" x14ac:dyDescent="0.3">
      <c r="A252" s="1"/>
      <c r="B252" s="1"/>
      <c r="C252" s="4"/>
      <c r="D252" s="4"/>
      <c r="E252" s="4"/>
      <c r="F252" s="4"/>
      <c r="G252" s="4"/>
    </row>
    <row r="253" spans="1:7" ht="12.75" customHeight="1" x14ac:dyDescent="0.3">
      <c r="A253" s="1"/>
      <c r="B253" s="1"/>
      <c r="C253" s="4"/>
      <c r="D253" s="4"/>
      <c r="E253" s="4"/>
      <c r="F253" s="4"/>
      <c r="G253" s="4"/>
    </row>
    <row r="254" spans="1:7" ht="12.75" customHeight="1" x14ac:dyDescent="0.3">
      <c r="A254" s="1"/>
      <c r="B254" s="1"/>
      <c r="C254" s="4"/>
      <c r="D254" s="4"/>
      <c r="E254" s="4"/>
      <c r="F254" s="4"/>
      <c r="G254" s="4"/>
    </row>
    <row r="255" spans="1:7" ht="12.75" customHeight="1" x14ac:dyDescent="0.3">
      <c r="A255" s="1"/>
      <c r="B255" s="1"/>
      <c r="C255" s="4"/>
      <c r="D255" s="4"/>
      <c r="E255" s="4"/>
      <c r="F255" s="4"/>
      <c r="G255" s="4"/>
    </row>
    <row r="256" spans="1:7" ht="12.75" customHeight="1" x14ac:dyDescent="0.3">
      <c r="A256" s="1"/>
      <c r="B256" s="1"/>
      <c r="C256" s="4"/>
      <c r="D256" s="4"/>
      <c r="E256" s="4"/>
      <c r="F256" s="4"/>
      <c r="G256" s="4"/>
    </row>
    <row r="257" spans="1:7" ht="12.75" customHeight="1" x14ac:dyDescent="0.3">
      <c r="A257" s="1"/>
      <c r="B257" s="1"/>
      <c r="C257" s="4"/>
      <c r="D257" s="4"/>
      <c r="E257" s="4"/>
      <c r="F257" s="4"/>
      <c r="G257" s="4"/>
    </row>
    <row r="258" spans="1:7" ht="12.75" customHeight="1" x14ac:dyDescent="0.3">
      <c r="A258" s="1"/>
      <c r="B258" s="1"/>
      <c r="C258" s="4"/>
      <c r="D258" s="4"/>
      <c r="E258" s="4"/>
      <c r="F258" s="4"/>
      <c r="G258" s="4"/>
    </row>
    <row r="259" spans="1:7" ht="12.75" customHeight="1" x14ac:dyDescent="0.3">
      <c r="A259" s="1"/>
      <c r="B259" s="1"/>
      <c r="C259" s="4"/>
      <c r="D259" s="4"/>
      <c r="E259" s="4"/>
      <c r="F259" s="4"/>
      <c r="G259" s="4"/>
    </row>
    <row r="260" spans="1:7" ht="12.75" customHeight="1" x14ac:dyDescent="0.3">
      <c r="A260" s="1"/>
      <c r="B260" s="1"/>
      <c r="C260" s="4"/>
      <c r="D260" s="4"/>
      <c r="E260" s="4"/>
      <c r="F260" s="4"/>
      <c r="G260" s="4"/>
    </row>
    <row r="261" spans="1:7" ht="12.75" customHeight="1" x14ac:dyDescent="0.3">
      <c r="A261" s="1"/>
      <c r="B261" s="1"/>
      <c r="C261" s="4"/>
      <c r="D261" s="4"/>
      <c r="E261" s="4"/>
      <c r="F261" s="4"/>
      <c r="G261" s="4"/>
    </row>
    <row r="262" spans="1:7" ht="12.75" customHeight="1" x14ac:dyDescent="0.3">
      <c r="A262" s="1"/>
      <c r="B262" s="1"/>
      <c r="C262" s="4"/>
      <c r="D262" s="4"/>
      <c r="E262" s="4"/>
      <c r="F262" s="4"/>
      <c r="G262" s="4"/>
    </row>
    <row r="263" spans="1:7" ht="12.75" customHeight="1" x14ac:dyDescent="0.3">
      <c r="A263" s="1"/>
      <c r="B263" s="1"/>
      <c r="C263" s="4"/>
      <c r="D263" s="4"/>
      <c r="E263" s="4"/>
      <c r="F263" s="4"/>
      <c r="G263" s="4"/>
    </row>
    <row r="264" spans="1:7" ht="12.75" customHeight="1" x14ac:dyDescent="0.3">
      <c r="A264" s="1"/>
      <c r="B264" s="1"/>
      <c r="C264" s="4"/>
      <c r="D264" s="4"/>
      <c r="E264" s="4"/>
      <c r="F264" s="4"/>
      <c r="G264" s="4"/>
    </row>
    <row r="265" spans="1:7" ht="12.75" customHeight="1" x14ac:dyDescent="0.3">
      <c r="A265" s="1"/>
      <c r="B265" s="1"/>
      <c r="C265" s="4"/>
      <c r="D265" s="4"/>
      <c r="E265" s="4"/>
      <c r="F265" s="4"/>
      <c r="G265" s="4"/>
    </row>
    <row r="266" spans="1:7" ht="12.75" customHeight="1" x14ac:dyDescent="0.3">
      <c r="A266" s="1"/>
      <c r="B266" s="1"/>
      <c r="C266" s="4"/>
      <c r="D266" s="4"/>
      <c r="E266" s="4"/>
      <c r="F266" s="4"/>
      <c r="G266" s="4"/>
    </row>
    <row r="267" spans="1:7" ht="12.75" customHeight="1" x14ac:dyDescent="0.3">
      <c r="A267" s="1"/>
      <c r="B267" s="1"/>
      <c r="C267" s="4"/>
      <c r="D267" s="4"/>
      <c r="E267" s="4"/>
      <c r="F267" s="4"/>
      <c r="G267" s="4"/>
    </row>
    <row r="268" spans="1:7" ht="12.75" customHeight="1" x14ac:dyDescent="0.3">
      <c r="A268" s="1"/>
      <c r="B268" s="1"/>
      <c r="C268" s="4"/>
      <c r="D268" s="4"/>
      <c r="E268" s="4"/>
      <c r="F268" s="4"/>
      <c r="G268" s="4"/>
    </row>
    <row r="269" spans="1:7" ht="12.75" customHeight="1" x14ac:dyDescent="0.3">
      <c r="A269" s="1"/>
      <c r="B269" s="1"/>
      <c r="C269" s="4"/>
      <c r="D269" s="4"/>
      <c r="E269" s="4"/>
      <c r="F269" s="4"/>
      <c r="G269" s="4"/>
    </row>
    <row r="270" spans="1:7" ht="12.75" customHeight="1" x14ac:dyDescent="0.3">
      <c r="A270" s="1"/>
      <c r="B270" s="1"/>
      <c r="C270" s="4"/>
      <c r="D270" s="4"/>
      <c r="E270" s="4"/>
      <c r="F270" s="4"/>
      <c r="G270" s="4"/>
    </row>
    <row r="271" spans="1:7" ht="12.75" customHeight="1" x14ac:dyDescent="0.3">
      <c r="A271" s="1"/>
      <c r="B271" s="1"/>
      <c r="C271" s="4"/>
      <c r="D271" s="4"/>
      <c r="E271" s="4"/>
      <c r="F271" s="4"/>
      <c r="G271" s="4"/>
    </row>
    <row r="272" spans="1:7" ht="12.75" customHeight="1" x14ac:dyDescent="0.3">
      <c r="A272" s="1"/>
      <c r="B272" s="1"/>
      <c r="C272" s="4"/>
      <c r="D272" s="4"/>
      <c r="E272" s="4"/>
      <c r="F272" s="4"/>
      <c r="G272" s="4"/>
    </row>
    <row r="273" spans="1:7" ht="12.75" customHeight="1" x14ac:dyDescent="0.3">
      <c r="A273" s="1"/>
      <c r="B273" s="1"/>
      <c r="C273" s="4"/>
      <c r="D273" s="4"/>
      <c r="E273" s="4"/>
      <c r="F273" s="4"/>
      <c r="G273" s="4"/>
    </row>
    <row r="274" spans="1:7" ht="12.75" customHeight="1" x14ac:dyDescent="0.3">
      <c r="A274" s="1"/>
      <c r="B274" s="1"/>
      <c r="C274" s="4"/>
      <c r="D274" s="4"/>
      <c r="E274" s="4"/>
      <c r="F274" s="4"/>
      <c r="G274" s="4"/>
    </row>
    <row r="275" spans="1:7" ht="12.75" customHeight="1" x14ac:dyDescent="0.3">
      <c r="A275" s="1"/>
      <c r="B275" s="1"/>
      <c r="C275" s="4"/>
      <c r="D275" s="4"/>
      <c r="E275" s="4"/>
      <c r="F275" s="4"/>
      <c r="G275" s="4"/>
    </row>
    <row r="276" spans="1:7" ht="12.75" customHeight="1" x14ac:dyDescent="0.3">
      <c r="A276" s="1"/>
      <c r="B276" s="1"/>
      <c r="C276" s="4"/>
      <c r="D276" s="4"/>
      <c r="E276" s="4"/>
      <c r="F276" s="4"/>
      <c r="G276" s="4"/>
    </row>
    <row r="277" spans="1:7" ht="12.75" customHeight="1" x14ac:dyDescent="0.3">
      <c r="A277" s="1"/>
      <c r="B277" s="1"/>
      <c r="C277" s="4"/>
      <c r="D277" s="4"/>
      <c r="E277" s="4"/>
      <c r="F277" s="4"/>
      <c r="G277" s="4"/>
    </row>
    <row r="278" spans="1:7" ht="12.75" customHeight="1" x14ac:dyDescent="0.3">
      <c r="A278" s="1"/>
      <c r="B278" s="1"/>
      <c r="C278" s="4"/>
      <c r="D278" s="4"/>
      <c r="E278" s="4"/>
      <c r="F278" s="4"/>
      <c r="G278" s="4"/>
    </row>
    <row r="279" spans="1:7" ht="12.75" customHeight="1" x14ac:dyDescent="0.3">
      <c r="A279" s="1"/>
      <c r="B279" s="1"/>
      <c r="C279" s="4"/>
      <c r="D279" s="4"/>
      <c r="E279" s="4"/>
      <c r="F279" s="4"/>
      <c r="G279" s="4"/>
    </row>
    <row r="280" spans="1:7" ht="12.75" customHeight="1" x14ac:dyDescent="0.3">
      <c r="A280" s="1"/>
      <c r="B280" s="1"/>
      <c r="C280" s="4"/>
      <c r="D280" s="4"/>
      <c r="E280" s="4"/>
      <c r="F280" s="4"/>
      <c r="G280" s="4"/>
    </row>
    <row r="281" spans="1:7" ht="12.75" customHeight="1" x14ac:dyDescent="0.3">
      <c r="A281" s="1"/>
      <c r="B281" s="1"/>
      <c r="C281" s="4"/>
      <c r="D281" s="4"/>
      <c r="E281" s="4"/>
      <c r="F281" s="4"/>
      <c r="G281" s="4"/>
    </row>
    <row r="282" spans="1:7" ht="12.75" customHeight="1" x14ac:dyDescent="0.3">
      <c r="A282" s="1"/>
      <c r="B282" s="1"/>
      <c r="C282" s="4"/>
      <c r="D282" s="4"/>
      <c r="E282" s="4"/>
      <c r="F282" s="4"/>
      <c r="G282" s="4"/>
    </row>
    <row r="283" spans="1:7" ht="12.75" customHeight="1" x14ac:dyDescent="0.3">
      <c r="A283" s="1"/>
      <c r="B283" s="1"/>
      <c r="C283" s="4"/>
      <c r="D283" s="4"/>
      <c r="E283" s="4"/>
      <c r="F283" s="4"/>
      <c r="G283" s="4"/>
    </row>
    <row r="284" spans="1:7" ht="12.75" customHeight="1" x14ac:dyDescent="0.3">
      <c r="A284" s="1"/>
      <c r="B284" s="1"/>
      <c r="C284" s="4"/>
      <c r="D284" s="4"/>
      <c r="E284" s="4"/>
      <c r="F284" s="4"/>
      <c r="G284" s="4"/>
    </row>
    <row r="285" spans="1:7" ht="12.75" customHeight="1" x14ac:dyDescent="0.3">
      <c r="A285" s="1"/>
      <c r="B285" s="1"/>
      <c r="C285" s="4"/>
      <c r="D285" s="4"/>
      <c r="E285" s="4"/>
      <c r="F285" s="4"/>
      <c r="G285" s="4"/>
    </row>
    <row r="286" spans="1:7" ht="12.75" customHeight="1" x14ac:dyDescent="0.3">
      <c r="A286" s="1"/>
      <c r="B286" s="1"/>
      <c r="C286" s="4"/>
      <c r="D286" s="4"/>
      <c r="E286" s="4"/>
      <c r="F286" s="4"/>
      <c r="G286" s="4"/>
    </row>
    <row r="287" spans="1:7" ht="12.75" customHeight="1" x14ac:dyDescent="0.3">
      <c r="A287" s="1"/>
      <c r="B287" s="1"/>
      <c r="C287" s="4"/>
      <c r="D287" s="4"/>
      <c r="E287" s="4"/>
      <c r="F287" s="4"/>
      <c r="G287" s="4"/>
    </row>
    <row r="288" spans="1:7" ht="12.75" customHeight="1" x14ac:dyDescent="0.3">
      <c r="A288" s="1"/>
      <c r="B288" s="1"/>
      <c r="C288" s="4"/>
      <c r="D288" s="4"/>
      <c r="E288" s="4"/>
      <c r="F288" s="4"/>
      <c r="G288" s="4"/>
    </row>
    <row r="289" spans="1:7" ht="12.75" customHeight="1" x14ac:dyDescent="0.3">
      <c r="A289" s="1"/>
      <c r="B289" s="1"/>
      <c r="C289" s="4"/>
      <c r="D289" s="4"/>
      <c r="E289" s="4"/>
      <c r="F289" s="4"/>
      <c r="G289" s="4"/>
    </row>
    <row r="290" spans="1:7" ht="12.75" customHeight="1" x14ac:dyDescent="0.3">
      <c r="A290" s="1"/>
      <c r="B290" s="1"/>
      <c r="C290" s="4"/>
      <c r="D290" s="4"/>
      <c r="E290" s="4"/>
      <c r="F290" s="4"/>
      <c r="G290" s="4"/>
    </row>
    <row r="291" spans="1:7" ht="12.75" customHeight="1" x14ac:dyDescent="0.3">
      <c r="A291" s="1"/>
      <c r="B291" s="1"/>
      <c r="C291" s="4"/>
      <c r="D291" s="4"/>
      <c r="E291" s="4"/>
      <c r="F291" s="4"/>
      <c r="G291" s="4"/>
    </row>
    <row r="292" spans="1:7" ht="12.75" customHeight="1" x14ac:dyDescent="0.3">
      <c r="A292" s="1"/>
      <c r="B292" s="1"/>
      <c r="C292" s="4"/>
      <c r="D292" s="4"/>
      <c r="E292" s="4"/>
      <c r="F292" s="4"/>
      <c r="G292" s="4"/>
    </row>
    <row r="293" spans="1:7" ht="12.75" customHeight="1" x14ac:dyDescent="0.3">
      <c r="A293" s="1"/>
      <c r="B293" s="1"/>
      <c r="C293" s="4"/>
      <c r="D293" s="4"/>
      <c r="E293" s="4"/>
      <c r="F293" s="4"/>
      <c r="G293" s="4"/>
    </row>
    <row r="294" spans="1:7" ht="12.75" customHeight="1" x14ac:dyDescent="0.3">
      <c r="A294" s="1"/>
      <c r="B294" s="1"/>
      <c r="C294" s="4"/>
      <c r="D294" s="4"/>
      <c r="E294" s="4"/>
      <c r="F294" s="4"/>
      <c r="G294" s="4"/>
    </row>
    <row r="295" spans="1:7" ht="12.75" customHeight="1" x14ac:dyDescent="0.3">
      <c r="A295" s="1"/>
      <c r="B295" s="1"/>
      <c r="C295" s="4"/>
      <c r="D295" s="4"/>
      <c r="E295" s="4"/>
      <c r="F295" s="4"/>
      <c r="G295" s="4"/>
    </row>
    <row r="296" spans="1:7" ht="12.75" customHeight="1" x14ac:dyDescent="0.3">
      <c r="A296" s="1"/>
      <c r="B296" s="1"/>
      <c r="C296" s="4"/>
      <c r="D296" s="4"/>
      <c r="E296" s="4"/>
      <c r="F296" s="4"/>
      <c r="G296" s="4"/>
    </row>
    <row r="297" spans="1:7" ht="12.75" customHeight="1" x14ac:dyDescent="0.3">
      <c r="A297" s="1"/>
      <c r="B297" s="1"/>
      <c r="C297" s="4"/>
      <c r="D297" s="4"/>
      <c r="E297" s="4"/>
      <c r="F297" s="4"/>
      <c r="G297" s="4"/>
    </row>
    <row r="298" spans="1:7" ht="12.75" customHeight="1" x14ac:dyDescent="0.3">
      <c r="A298" s="1"/>
      <c r="B298" s="1"/>
      <c r="C298" s="4"/>
      <c r="D298" s="4"/>
      <c r="E298" s="4"/>
      <c r="F298" s="4"/>
      <c r="G298" s="4"/>
    </row>
    <row r="299" spans="1:7" ht="12.75" customHeight="1" x14ac:dyDescent="0.3">
      <c r="A299" s="1"/>
      <c r="B299" s="1"/>
      <c r="C299" s="4"/>
      <c r="D299" s="4"/>
      <c r="E299" s="4"/>
      <c r="F299" s="4"/>
      <c r="G299" s="4"/>
    </row>
    <row r="300" spans="1:7" ht="12.75" customHeight="1" x14ac:dyDescent="0.3">
      <c r="A300" s="1"/>
      <c r="B300" s="1"/>
      <c r="C300" s="4"/>
      <c r="D300" s="4"/>
      <c r="E300" s="4"/>
      <c r="F300" s="4"/>
      <c r="G300" s="4"/>
    </row>
    <row r="301" spans="1:7" ht="12.75" customHeight="1" x14ac:dyDescent="0.3">
      <c r="A301" s="1"/>
      <c r="B301" s="1"/>
      <c r="C301" s="4"/>
      <c r="D301" s="4"/>
      <c r="E301" s="4"/>
      <c r="F301" s="4"/>
      <c r="G301" s="4"/>
    </row>
    <row r="302" spans="1:7" ht="12.75" customHeight="1" x14ac:dyDescent="0.3">
      <c r="A302" s="1"/>
      <c r="B302" s="1"/>
      <c r="C302" s="4"/>
      <c r="D302" s="4"/>
      <c r="E302" s="4"/>
      <c r="F302" s="4"/>
      <c r="G302" s="4"/>
    </row>
    <row r="303" spans="1:7" ht="12.75" customHeight="1" x14ac:dyDescent="0.3">
      <c r="A303" s="1"/>
      <c r="B303" s="1"/>
      <c r="C303" s="4"/>
      <c r="D303" s="4"/>
      <c r="E303" s="4"/>
      <c r="F303" s="4"/>
      <c r="G303" s="4"/>
    </row>
    <row r="304" spans="1:7" ht="12.75" customHeight="1" x14ac:dyDescent="0.3">
      <c r="A304" s="1"/>
      <c r="B304" s="1"/>
      <c r="C304" s="4"/>
      <c r="D304" s="4"/>
      <c r="E304" s="4"/>
      <c r="F304" s="4"/>
      <c r="G304" s="4"/>
    </row>
    <row r="305" spans="1:7" ht="12.75" customHeight="1" x14ac:dyDescent="0.3">
      <c r="A305" s="1"/>
      <c r="B305" s="1"/>
      <c r="C305" s="4"/>
      <c r="D305" s="4"/>
      <c r="E305" s="4"/>
      <c r="F305" s="4"/>
      <c r="G305" s="4"/>
    </row>
    <row r="306" spans="1:7" ht="12.75" customHeight="1" x14ac:dyDescent="0.3">
      <c r="A306" s="1"/>
      <c r="B306" s="1"/>
      <c r="C306" s="4"/>
      <c r="D306" s="4"/>
      <c r="E306" s="4"/>
      <c r="F306" s="4"/>
      <c r="G306" s="4"/>
    </row>
    <row r="307" spans="1:7" ht="12.75" customHeight="1" x14ac:dyDescent="0.3">
      <c r="A307" s="1"/>
      <c r="B307" s="1"/>
      <c r="C307" s="4"/>
      <c r="D307" s="4"/>
      <c r="E307" s="4"/>
      <c r="F307" s="4"/>
      <c r="G307" s="4"/>
    </row>
    <row r="308" spans="1:7" ht="12.75" customHeight="1" x14ac:dyDescent="0.3">
      <c r="A308" s="1"/>
      <c r="B308" s="1"/>
      <c r="C308" s="4"/>
      <c r="D308" s="4"/>
      <c r="E308" s="4"/>
      <c r="F308" s="4"/>
      <c r="G308" s="4"/>
    </row>
    <row r="309" spans="1:7" ht="12.75" customHeight="1" x14ac:dyDescent="0.3">
      <c r="A309" s="1"/>
      <c r="B309" s="1"/>
      <c r="C309" s="4"/>
      <c r="D309" s="4"/>
      <c r="E309" s="4"/>
      <c r="F309" s="4"/>
      <c r="G309" s="4"/>
    </row>
    <row r="310" spans="1:7" ht="12.75" customHeight="1" x14ac:dyDescent="0.3">
      <c r="A310" s="1"/>
      <c r="B310" s="1"/>
      <c r="C310" s="4"/>
      <c r="D310" s="4"/>
      <c r="E310" s="4"/>
      <c r="F310" s="4"/>
      <c r="G310" s="4"/>
    </row>
    <row r="311" spans="1:7" ht="12.75" customHeight="1" x14ac:dyDescent="0.3">
      <c r="A311" s="1"/>
      <c r="B311" s="1"/>
      <c r="C311" s="4"/>
      <c r="D311" s="4"/>
      <c r="E311" s="4"/>
      <c r="F311" s="4"/>
      <c r="G311" s="4"/>
    </row>
    <row r="312" spans="1:7" ht="12.75" customHeight="1" x14ac:dyDescent="0.3">
      <c r="A312" s="1"/>
      <c r="B312" s="1"/>
      <c r="C312" s="4"/>
      <c r="D312" s="4"/>
      <c r="E312" s="4"/>
      <c r="F312" s="4"/>
      <c r="G312" s="4"/>
    </row>
    <row r="313" spans="1:7" ht="12.75" customHeight="1" x14ac:dyDescent="0.3">
      <c r="A313" s="1"/>
      <c r="B313" s="1"/>
      <c r="C313" s="4"/>
      <c r="D313" s="4"/>
      <c r="E313" s="4"/>
      <c r="F313" s="4"/>
      <c r="G313" s="4"/>
    </row>
    <row r="314" spans="1:7" ht="12.75" customHeight="1" x14ac:dyDescent="0.3">
      <c r="A314" s="1"/>
      <c r="B314" s="1"/>
      <c r="C314" s="4"/>
      <c r="D314" s="4"/>
      <c r="E314" s="4"/>
      <c r="F314" s="4"/>
      <c r="G314" s="4"/>
    </row>
    <row r="315" spans="1:7" ht="12.75" customHeight="1" x14ac:dyDescent="0.3">
      <c r="A315" s="1"/>
      <c r="B315" s="1"/>
      <c r="C315" s="4"/>
      <c r="D315" s="4"/>
      <c r="E315" s="4"/>
      <c r="F315" s="4"/>
      <c r="G315" s="4"/>
    </row>
    <row r="316" spans="1:7" ht="12.75" customHeight="1" x14ac:dyDescent="0.3">
      <c r="A316" s="1"/>
      <c r="B316" s="1"/>
      <c r="C316" s="4"/>
      <c r="D316" s="4"/>
      <c r="E316" s="4"/>
      <c r="F316" s="4"/>
      <c r="G316" s="4"/>
    </row>
    <row r="317" spans="1:7" ht="12.75" customHeight="1" x14ac:dyDescent="0.3">
      <c r="A317" s="1"/>
      <c r="B317" s="1"/>
      <c r="C317" s="4"/>
      <c r="D317" s="4"/>
      <c r="E317" s="4"/>
      <c r="F317" s="4"/>
      <c r="G317" s="4"/>
    </row>
    <row r="318" spans="1:7" ht="12.75" customHeight="1" x14ac:dyDescent="0.3">
      <c r="A318" s="1"/>
      <c r="B318" s="1"/>
      <c r="C318" s="4"/>
      <c r="D318" s="4"/>
      <c r="E318" s="4"/>
      <c r="F318" s="4"/>
      <c r="G318" s="4"/>
    </row>
    <row r="319" spans="1:7" ht="12.75" customHeight="1" x14ac:dyDescent="0.3">
      <c r="A319" s="1"/>
      <c r="B319" s="1"/>
      <c r="C319" s="4"/>
      <c r="D319" s="4"/>
      <c r="E319" s="4"/>
      <c r="F319" s="4"/>
      <c r="G319" s="4"/>
    </row>
    <row r="320" spans="1:7" ht="12.75" customHeight="1" x14ac:dyDescent="0.3">
      <c r="A320" s="1"/>
      <c r="B320" s="1"/>
      <c r="C320" s="4"/>
      <c r="D320" s="4"/>
      <c r="E320" s="4"/>
      <c r="F320" s="4"/>
      <c r="G320" s="4"/>
    </row>
    <row r="321" spans="1:7" ht="12.75" customHeight="1" x14ac:dyDescent="0.3">
      <c r="A321" s="1"/>
      <c r="B321" s="1"/>
      <c r="C321" s="4"/>
      <c r="D321" s="4"/>
      <c r="E321" s="4"/>
      <c r="F321" s="4"/>
      <c r="G321" s="4"/>
    </row>
    <row r="322" spans="1:7" ht="12.75" customHeight="1" x14ac:dyDescent="0.3">
      <c r="A322" s="1"/>
      <c r="B322" s="1"/>
      <c r="C322" s="4"/>
      <c r="D322" s="4"/>
      <c r="E322" s="4"/>
      <c r="F322" s="4"/>
      <c r="G322" s="4"/>
    </row>
    <row r="323" spans="1:7" ht="12.75" customHeight="1" x14ac:dyDescent="0.3">
      <c r="A323" s="1"/>
      <c r="B323" s="1"/>
      <c r="C323" s="4"/>
      <c r="D323" s="4"/>
      <c r="E323" s="4"/>
      <c r="F323" s="4"/>
      <c r="G323" s="4"/>
    </row>
    <row r="324" spans="1:7" ht="12.75" customHeight="1" x14ac:dyDescent="0.3">
      <c r="A324" s="1"/>
      <c r="B324" s="1"/>
      <c r="C324" s="4"/>
      <c r="D324" s="4"/>
      <c r="E324" s="4"/>
      <c r="F324" s="4"/>
      <c r="G324" s="4"/>
    </row>
    <row r="325" spans="1:7" ht="12.75" customHeight="1" x14ac:dyDescent="0.3">
      <c r="A325" s="1"/>
      <c r="B325" s="1"/>
      <c r="C325" s="4"/>
      <c r="D325" s="4"/>
      <c r="E325" s="4"/>
      <c r="F325" s="4"/>
      <c r="G325" s="4"/>
    </row>
    <row r="326" spans="1:7" ht="12.75" customHeight="1" x14ac:dyDescent="0.3">
      <c r="A326" s="1"/>
      <c r="B326" s="1"/>
      <c r="C326" s="4"/>
      <c r="D326" s="4"/>
      <c r="E326" s="4"/>
      <c r="F326" s="4"/>
      <c r="G326" s="4"/>
    </row>
    <row r="327" spans="1:7" ht="12.75" customHeight="1" x14ac:dyDescent="0.3">
      <c r="A327" s="1"/>
      <c r="B327" s="1"/>
      <c r="C327" s="4"/>
      <c r="D327" s="4"/>
      <c r="E327" s="4"/>
      <c r="F327" s="4"/>
      <c r="G327" s="4"/>
    </row>
    <row r="328" spans="1:7" ht="12.75" customHeight="1" x14ac:dyDescent="0.3">
      <c r="A328" s="1"/>
      <c r="B328" s="1"/>
      <c r="C328" s="4"/>
      <c r="D328" s="4"/>
      <c r="E328" s="4"/>
      <c r="F328" s="4"/>
      <c r="G328" s="4"/>
    </row>
    <row r="329" spans="1:7" ht="12.75" customHeight="1" x14ac:dyDescent="0.3">
      <c r="A329" s="1"/>
      <c r="B329" s="1"/>
      <c r="C329" s="4"/>
      <c r="D329" s="4"/>
      <c r="E329" s="4"/>
      <c r="F329" s="4"/>
      <c r="G329" s="4"/>
    </row>
    <row r="330" spans="1:7" ht="12.75" customHeight="1" x14ac:dyDescent="0.3">
      <c r="A330" s="1"/>
      <c r="B330" s="1"/>
      <c r="C330" s="4"/>
      <c r="D330" s="4"/>
      <c r="E330" s="4"/>
      <c r="F330" s="4"/>
      <c r="G330" s="4"/>
    </row>
    <row r="331" spans="1:7" ht="12.75" customHeight="1" x14ac:dyDescent="0.3">
      <c r="A331" s="1"/>
      <c r="B331" s="1"/>
      <c r="C331" s="4"/>
      <c r="D331" s="4"/>
      <c r="E331" s="4"/>
      <c r="F331" s="4"/>
      <c r="G331" s="4"/>
    </row>
    <row r="332" spans="1:7" ht="12.75" customHeight="1" x14ac:dyDescent="0.3">
      <c r="A332" s="1"/>
      <c r="B332" s="1"/>
      <c r="C332" s="4"/>
      <c r="D332" s="4"/>
      <c r="E332" s="4"/>
      <c r="F332" s="4"/>
      <c r="G332" s="4"/>
    </row>
    <row r="333" spans="1:7" ht="12.75" customHeight="1" x14ac:dyDescent="0.3">
      <c r="A333" s="1"/>
      <c r="B333" s="1"/>
      <c r="C333" s="4"/>
      <c r="D333" s="4"/>
      <c r="E333" s="4"/>
      <c r="F333" s="4"/>
      <c r="G333" s="4"/>
    </row>
    <row r="334" spans="1:7" ht="12.75" customHeight="1" x14ac:dyDescent="0.3">
      <c r="A334" s="1"/>
      <c r="B334" s="1"/>
      <c r="C334" s="4"/>
      <c r="D334" s="4"/>
      <c r="E334" s="4"/>
      <c r="F334" s="4"/>
      <c r="G334" s="4"/>
    </row>
    <row r="335" spans="1:7" ht="12.75" customHeight="1" x14ac:dyDescent="0.3">
      <c r="A335" s="1"/>
      <c r="B335" s="1"/>
      <c r="C335" s="4"/>
      <c r="D335" s="4"/>
      <c r="E335" s="4"/>
      <c r="F335" s="4"/>
      <c r="G335" s="4"/>
    </row>
    <row r="336" spans="1:7" ht="12.75" customHeight="1" x14ac:dyDescent="0.3">
      <c r="A336" s="1"/>
      <c r="B336" s="1"/>
      <c r="C336" s="4"/>
      <c r="D336" s="4"/>
      <c r="E336" s="4"/>
      <c r="F336" s="4"/>
      <c r="G336" s="4"/>
    </row>
    <row r="337" spans="1:7" ht="12.75" customHeight="1" x14ac:dyDescent="0.3">
      <c r="A337" s="1"/>
      <c r="B337" s="1"/>
      <c r="C337" s="4"/>
      <c r="D337" s="4"/>
      <c r="E337" s="4"/>
      <c r="F337" s="4"/>
      <c r="G337" s="4"/>
    </row>
    <row r="338" spans="1:7" ht="12.75" customHeight="1" x14ac:dyDescent="0.3">
      <c r="A338" s="1"/>
      <c r="B338" s="1"/>
      <c r="C338" s="4"/>
      <c r="D338" s="4"/>
      <c r="E338" s="4"/>
      <c r="F338" s="4"/>
      <c r="G338" s="4"/>
    </row>
    <row r="339" spans="1:7" ht="12.75" customHeight="1" x14ac:dyDescent="0.3">
      <c r="A339" s="1"/>
      <c r="B339" s="1"/>
      <c r="C339" s="4"/>
      <c r="D339" s="4"/>
      <c r="E339" s="4"/>
      <c r="F339" s="4"/>
      <c r="G339" s="4"/>
    </row>
    <row r="340" spans="1:7" ht="12.75" customHeight="1" x14ac:dyDescent="0.3">
      <c r="A340" s="1"/>
      <c r="B340" s="1"/>
      <c r="C340" s="4"/>
      <c r="D340" s="4"/>
      <c r="E340" s="4"/>
      <c r="F340" s="4"/>
      <c r="G340" s="4"/>
    </row>
    <row r="341" spans="1:7" ht="12.75" customHeight="1" x14ac:dyDescent="0.3">
      <c r="A341" s="1"/>
      <c r="B341" s="1"/>
      <c r="C341" s="4"/>
      <c r="D341" s="4"/>
      <c r="E341" s="4"/>
      <c r="F341" s="4"/>
      <c r="G341" s="4"/>
    </row>
    <row r="342" spans="1:7" ht="12.75" customHeight="1" x14ac:dyDescent="0.3">
      <c r="A342" s="1"/>
      <c r="B342" s="1"/>
      <c r="C342" s="4"/>
      <c r="D342" s="4"/>
      <c r="E342" s="4"/>
      <c r="F342" s="4"/>
      <c r="G342" s="4"/>
    </row>
    <row r="343" spans="1:7" ht="12.75" customHeight="1" x14ac:dyDescent="0.3">
      <c r="A343" s="1"/>
      <c r="B343" s="1"/>
      <c r="C343" s="4"/>
      <c r="D343" s="4"/>
      <c r="E343" s="4"/>
      <c r="F343" s="4"/>
      <c r="G343" s="4"/>
    </row>
    <row r="344" spans="1:7" ht="12.75" customHeight="1" x14ac:dyDescent="0.3">
      <c r="A344" s="1"/>
      <c r="B344" s="1"/>
      <c r="C344" s="4"/>
      <c r="D344" s="4"/>
      <c r="E344" s="4"/>
      <c r="F344" s="4"/>
      <c r="G344" s="4"/>
    </row>
    <row r="345" spans="1:7" ht="12.75" customHeight="1" x14ac:dyDescent="0.3">
      <c r="A345" s="1"/>
      <c r="B345" s="1"/>
      <c r="C345" s="4"/>
      <c r="D345" s="4"/>
      <c r="E345" s="4"/>
      <c r="F345" s="4"/>
      <c r="G345" s="4"/>
    </row>
    <row r="346" spans="1:7" ht="12.75" customHeight="1" x14ac:dyDescent="0.3">
      <c r="A346" s="1"/>
      <c r="B346" s="1"/>
      <c r="C346" s="4"/>
      <c r="D346" s="4"/>
      <c r="E346" s="4"/>
      <c r="F346" s="4"/>
      <c r="G346" s="4"/>
    </row>
    <row r="347" spans="1:7" ht="12.75" customHeight="1" x14ac:dyDescent="0.3">
      <c r="A347" s="1"/>
      <c r="B347" s="1"/>
      <c r="C347" s="4"/>
      <c r="D347" s="4"/>
      <c r="E347" s="4"/>
      <c r="F347" s="4"/>
      <c r="G347" s="4"/>
    </row>
    <row r="348" spans="1:7" ht="12.75" customHeight="1" x14ac:dyDescent="0.3">
      <c r="A348" s="1"/>
      <c r="B348" s="1"/>
      <c r="C348" s="4"/>
      <c r="D348" s="4"/>
      <c r="E348" s="4"/>
      <c r="F348" s="4"/>
      <c r="G348" s="4"/>
    </row>
    <row r="349" spans="1:7" ht="12.75" customHeight="1" x14ac:dyDescent="0.3">
      <c r="A349" s="1"/>
      <c r="B349" s="1"/>
      <c r="C349" s="4"/>
      <c r="D349" s="4"/>
      <c r="E349" s="4"/>
      <c r="F349" s="4"/>
      <c r="G349" s="4"/>
    </row>
    <row r="350" spans="1:7" ht="12.75" customHeight="1" x14ac:dyDescent="0.3">
      <c r="A350" s="1"/>
      <c r="B350" s="1"/>
      <c r="C350" s="4"/>
      <c r="D350" s="4"/>
      <c r="E350" s="4"/>
      <c r="F350" s="4"/>
      <c r="G350" s="4"/>
    </row>
    <row r="351" spans="1:7" ht="12.75" customHeight="1" x14ac:dyDescent="0.3">
      <c r="A351" s="1"/>
      <c r="B351" s="1"/>
      <c r="C351" s="4"/>
      <c r="D351" s="4"/>
      <c r="E351" s="4"/>
      <c r="F351" s="4"/>
      <c r="G351" s="4"/>
    </row>
    <row r="352" spans="1:7" ht="12.75" customHeight="1" x14ac:dyDescent="0.3">
      <c r="A352" s="1"/>
      <c r="B352" s="1"/>
      <c r="C352" s="4"/>
      <c r="D352" s="4"/>
      <c r="E352" s="4"/>
      <c r="F352" s="4"/>
      <c r="G352" s="4"/>
    </row>
    <row r="353" spans="1:7" ht="12.75" customHeight="1" x14ac:dyDescent="0.3">
      <c r="A353" s="1"/>
      <c r="B353" s="1"/>
      <c r="C353" s="4"/>
      <c r="D353" s="4"/>
      <c r="E353" s="4"/>
      <c r="F353" s="4"/>
      <c r="G353" s="4"/>
    </row>
    <row r="354" spans="1:7" ht="12.75" customHeight="1" x14ac:dyDescent="0.3">
      <c r="A354" s="1"/>
      <c r="B354" s="1"/>
      <c r="C354" s="4"/>
      <c r="D354" s="4"/>
      <c r="E354" s="4"/>
      <c r="F354" s="4"/>
      <c r="G354" s="4"/>
    </row>
    <row r="355" spans="1:7" ht="12.75" customHeight="1" x14ac:dyDescent="0.3">
      <c r="A355" s="1"/>
      <c r="B355" s="1"/>
      <c r="C355" s="4"/>
      <c r="D355" s="4"/>
      <c r="E355" s="4"/>
      <c r="F355" s="4"/>
      <c r="G355" s="4"/>
    </row>
    <row r="356" spans="1:7" ht="12.75" customHeight="1" x14ac:dyDescent="0.3">
      <c r="A356" s="1"/>
      <c r="B356" s="1"/>
      <c r="C356" s="4"/>
      <c r="D356" s="4"/>
      <c r="E356" s="4"/>
      <c r="F356" s="4"/>
      <c r="G356" s="4"/>
    </row>
    <row r="357" spans="1:7" ht="12.75" customHeight="1" x14ac:dyDescent="0.3">
      <c r="A357" s="1"/>
      <c r="B357" s="1"/>
      <c r="C357" s="4"/>
      <c r="D357" s="4"/>
      <c r="E357" s="4"/>
      <c r="F357" s="4"/>
      <c r="G357" s="4"/>
    </row>
    <row r="358" spans="1:7" ht="12.75" customHeight="1" x14ac:dyDescent="0.3">
      <c r="A358" s="1"/>
      <c r="B358" s="1"/>
      <c r="C358" s="4"/>
      <c r="D358" s="4"/>
      <c r="E358" s="4"/>
      <c r="F358" s="4"/>
      <c r="G358" s="4"/>
    </row>
    <row r="359" spans="1:7" ht="12.75" customHeight="1" x14ac:dyDescent="0.3">
      <c r="A359" s="1"/>
      <c r="B359" s="1"/>
      <c r="C359" s="4"/>
      <c r="D359" s="4"/>
      <c r="E359" s="4"/>
      <c r="F359" s="4"/>
      <c r="G359" s="4"/>
    </row>
    <row r="360" spans="1:7" ht="12.75" customHeight="1" x14ac:dyDescent="0.3">
      <c r="A360" s="1"/>
      <c r="B360" s="1"/>
      <c r="C360" s="4"/>
      <c r="D360" s="4"/>
      <c r="E360" s="4"/>
      <c r="F360" s="4"/>
      <c r="G360" s="4"/>
    </row>
    <row r="361" spans="1:7" ht="12.75" customHeight="1" x14ac:dyDescent="0.3">
      <c r="A361" s="1"/>
      <c r="B361" s="1"/>
      <c r="C361" s="4"/>
      <c r="D361" s="4"/>
      <c r="E361" s="4"/>
      <c r="F361" s="4"/>
      <c r="G361" s="4"/>
    </row>
    <row r="362" spans="1:7" ht="12.75" customHeight="1" x14ac:dyDescent="0.3">
      <c r="A362" s="1"/>
      <c r="B362" s="1"/>
      <c r="C362" s="4"/>
      <c r="D362" s="4"/>
      <c r="E362" s="4"/>
      <c r="F362" s="4"/>
      <c r="G362" s="4"/>
    </row>
    <row r="363" spans="1:7" ht="12.75" customHeight="1" x14ac:dyDescent="0.3">
      <c r="A363" s="1"/>
      <c r="B363" s="1"/>
      <c r="C363" s="4"/>
      <c r="D363" s="4"/>
      <c r="E363" s="4"/>
      <c r="F363" s="4"/>
      <c r="G363" s="4"/>
    </row>
    <row r="364" spans="1:7" ht="12.75" customHeight="1" x14ac:dyDescent="0.3">
      <c r="A364" s="1"/>
      <c r="B364" s="1"/>
      <c r="C364" s="4"/>
      <c r="D364" s="4"/>
      <c r="E364" s="4"/>
      <c r="F364" s="4"/>
      <c r="G364" s="4"/>
    </row>
    <row r="365" spans="1:7" ht="12.75" customHeight="1" x14ac:dyDescent="0.3">
      <c r="A365" s="1"/>
      <c r="B365" s="1"/>
      <c r="C365" s="4"/>
      <c r="D365" s="4"/>
      <c r="E365" s="4"/>
      <c r="F365" s="4"/>
      <c r="G365" s="4"/>
    </row>
    <row r="366" spans="1:7" ht="12.75" customHeight="1" x14ac:dyDescent="0.3">
      <c r="A366" s="1"/>
      <c r="B366" s="1"/>
      <c r="C366" s="4"/>
      <c r="D366" s="4"/>
      <c r="E366" s="4"/>
      <c r="F366" s="4"/>
      <c r="G366" s="4"/>
    </row>
    <row r="367" spans="1:7" ht="12.75" customHeight="1" x14ac:dyDescent="0.3">
      <c r="A367" s="1"/>
      <c r="B367" s="1"/>
      <c r="C367" s="4"/>
      <c r="D367" s="4"/>
      <c r="E367" s="4"/>
      <c r="F367" s="4"/>
      <c r="G367" s="4"/>
    </row>
    <row r="368" spans="1:7" ht="12.75" customHeight="1" x14ac:dyDescent="0.3">
      <c r="A368" s="1"/>
      <c r="B368" s="1"/>
      <c r="C368" s="4"/>
      <c r="D368" s="4"/>
      <c r="E368" s="4"/>
      <c r="F368" s="4"/>
      <c r="G368" s="4"/>
    </row>
    <row r="369" spans="1:7" ht="12.75" customHeight="1" x14ac:dyDescent="0.3">
      <c r="A369" s="1"/>
      <c r="B369" s="1"/>
      <c r="C369" s="4"/>
      <c r="D369" s="4"/>
      <c r="E369" s="4"/>
      <c r="F369" s="4"/>
      <c r="G369" s="4"/>
    </row>
    <row r="370" spans="1:7" ht="12.75" customHeight="1" x14ac:dyDescent="0.3">
      <c r="A370" s="1"/>
      <c r="B370" s="1"/>
      <c r="C370" s="4"/>
      <c r="D370" s="4"/>
      <c r="E370" s="4"/>
      <c r="F370" s="4"/>
      <c r="G370" s="4"/>
    </row>
    <row r="371" spans="1:7" ht="12.75" customHeight="1" x14ac:dyDescent="0.3">
      <c r="A371" s="1"/>
      <c r="B371" s="1"/>
      <c r="C371" s="4"/>
      <c r="D371" s="4"/>
      <c r="E371" s="4"/>
      <c r="F371" s="4"/>
      <c r="G371" s="4"/>
    </row>
    <row r="372" spans="1:7" ht="12.75" customHeight="1" x14ac:dyDescent="0.3">
      <c r="A372" s="1"/>
      <c r="B372" s="1"/>
      <c r="C372" s="4"/>
      <c r="D372" s="4"/>
      <c r="E372" s="4"/>
      <c r="F372" s="4"/>
      <c r="G372" s="4"/>
    </row>
    <row r="373" spans="1:7" ht="12.75" customHeight="1" x14ac:dyDescent="0.3">
      <c r="A373" s="1"/>
      <c r="B373" s="1"/>
      <c r="C373" s="4"/>
      <c r="D373" s="4"/>
      <c r="E373" s="4"/>
      <c r="F373" s="4"/>
      <c r="G373" s="4"/>
    </row>
    <row r="374" spans="1:7" ht="12.75" customHeight="1" x14ac:dyDescent="0.3">
      <c r="A374" s="1"/>
      <c r="B374" s="1"/>
      <c r="C374" s="4"/>
      <c r="D374" s="4"/>
      <c r="E374" s="4"/>
      <c r="F374" s="4"/>
      <c r="G374" s="4"/>
    </row>
    <row r="375" spans="1:7" ht="12.75" customHeight="1" x14ac:dyDescent="0.3">
      <c r="A375" s="1"/>
      <c r="B375" s="1"/>
      <c r="C375" s="4"/>
      <c r="D375" s="4"/>
      <c r="E375" s="4"/>
      <c r="F375" s="4"/>
      <c r="G375" s="4"/>
    </row>
    <row r="376" spans="1:7" ht="12.75" customHeight="1" x14ac:dyDescent="0.3">
      <c r="A376" s="1"/>
      <c r="B376" s="1"/>
      <c r="C376" s="4"/>
      <c r="D376" s="4"/>
      <c r="E376" s="4"/>
      <c r="F376" s="4"/>
      <c r="G376" s="4"/>
    </row>
    <row r="377" spans="1:7" ht="12.75" customHeight="1" x14ac:dyDescent="0.3">
      <c r="A377" s="1"/>
      <c r="B377" s="1"/>
      <c r="C377" s="4"/>
      <c r="D377" s="4"/>
      <c r="E377" s="4"/>
      <c r="F377" s="4"/>
      <c r="G377" s="4"/>
    </row>
    <row r="378" spans="1:7" ht="12.75" customHeight="1" x14ac:dyDescent="0.3">
      <c r="A378" s="1"/>
      <c r="B378" s="1"/>
      <c r="C378" s="4"/>
      <c r="D378" s="4"/>
      <c r="E378" s="4"/>
      <c r="F378" s="4"/>
      <c r="G378" s="4"/>
    </row>
    <row r="379" spans="1:7" ht="12.75" customHeight="1" x14ac:dyDescent="0.3">
      <c r="A379" s="1"/>
      <c r="B379" s="1"/>
      <c r="C379" s="4"/>
      <c r="D379" s="4"/>
      <c r="E379" s="4"/>
      <c r="F379" s="4"/>
      <c r="G379" s="4"/>
    </row>
    <row r="380" spans="1:7" ht="12.75" customHeight="1" x14ac:dyDescent="0.3">
      <c r="A380" s="1"/>
      <c r="B380" s="1"/>
      <c r="C380" s="4"/>
      <c r="D380" s="4"/>
      <c r="E380" s="4"/>
      <c r="F380" s="4"/>
      <c r="G380" s="4"/>
    </row>
    <row r="381" spans="1:7" ht="12.75" customHeight="1" x14ac:dyDescent="0.3">
      <c r="A381" s="1"/>
      <c r="B381" s="1"/>
      <c r="C381" s="4"/>
      <c r="D381" s="4"/>
      <c r="E381" s="4"/>
      <c r="F381" s="4"/>
      <c r="G381" s="4"/>
    </row>
    <row r="382" spans="1:7" ht="12.75" customHeight="1" x14ac:dyDescent="0.3">
      <c r="A382" s="1"/>
      <c r="B382" s="1"/>
      <c r="C382" s="4"/>
      <c r="D382" s="4"/>
      <c r="E382" s="4"/>
      <c r="F382" s="4"/>
      <c r="G382" s="4"/>
    </row>
    <row r="383" spans="1:7" ht="12.75" customHeight="1" x14ac:dyDescent="0.3">
      <c r="A383" s="1"/>
      <c r="B383" s="1"/>
      <c r="C383" s="4"/>
      <c r="D383" s="4"/>
      <c r="E383" s="4"/>
      <c r="F383" s="4"/>
      <c r="G383" s="4"/>
    </row>
    <row r="384" spans="1:7" ht="12.75" customHeight="1" x14ac:dyDescent="0.3">
      <c r="A384" s="1"/>
      <c r="B384" s="1"/>
      <c r="C384" s="4"/>
      <c r="D384" s="4"/>
      <c r="E384" s="4"/>
      <c r="F384" s="4"/>
      <c r="G384" s="4"/>
    </row>
    <row r="385" spans="1:7" ht="12.75" customHeight="1" x14ac:dyDescent="0.3">
      <c r="A385" s="1"/>
      <c r="B385" s="1"/>
      <c r="C385" s="4"/>
      <c r="D385" s="4"/>
      <c r="E385" s="4"/>
      <c r="F385" s="4"/>
      <c r="G385" s="4"/>
    </row>
    <row r="386" spans="1:7" ht="12.75" customHeight="1" x14ac:dyDescent="0.3">
      <c r="A386" s="1"/>
      <c r="B386" s="1"/>
      <c r="C386" s="4"/>
      <c r="D386" s="4"/>
      <c r="E386" s="4"/>
      <c r="F386" s="4"/>
      <c r="G386" s="4"/>
    </row>
    <row r="387" spans="1:7" ht="12.75" customHeight="1" x14ac:dyDescent="0.3">
      <c r="A387" s="1"/>
      <c r="B387" s="1"/>
      <c r="C387" s="4"/>
      <c r="D387" s="4"/>
      <c r="E387" s="4"/>
      <c r="F387" s="4"/>
      <c r="G387" s="4"/>
    </row>
    <row r="388" spans="1:7" ht="12.75" customHeight="1" x14ac:dyDescent="0.3">
      <c r="A388" s="1"/>
      <c r="B388" s="1"/>
      <c r="C388" s="4"/>
      <c r="D388" s="4"/>
      <c r="E388" s="4"/>
      <c r="F388" s="4"/>
      <c r="G388" s="4"/>
    </row>
    <row r="389" spans="1:7" ht="12.75" customHeight="1" x14ac:dyDescent="0.3">
      <c r="A389" s="1"/>
      <c r="B389" s="1"/>
      <c r="C389" s="4"/>
      <c r="D389" s="4"/>
      <c r="E389" s="4"/>
      <c r="F389" s="4"/>
      <c r="G389" s="4"/>
    </row>
    <row r="390" spans="1:7" ht="12.75" customHeight="1" x14ac:dyDescent="0.3">
      <c r="A390" s="1"/>
      <c r="B390" s="1"/>
      <c r="C390" s="4"/>
      <c r="D390" s="4"/>
      <c r="E390" s="4"/>
      <c r="F390" s="4"/>
      <c r="G390" s="4"/>
    </row>
    <row r="391" spans="1:7" ht="12.75" customHeight="1" x14ac:dyDescent="0.3">
      <c r="A391" s="1"/>
      <c r="B391" s="1"/>
      <c r="C391" s="4"/>
      <c r="D391" s="4"/>
      <c r="E391" s="4"/>
      <c r="F391" s="4"/>
      <c r="G391" s="4"/>
    </row>
    <row r="392" spans="1:7" ht="12.75" customHeight="1" x14ac:dyDescent="0.3">
      <c r="A392" s="1"/>
      <c r="B392" s="1"/>
      <c r="C392" s="4"/>
      <c r="D392" s="4"/>
      <c r="E392" s="4"/>
      <c r="F392" s="4"/>
      <c r="G392" s="4"/>
    </row>
    <row r="393" spans="1:7" ht="12.75" customHeight="1" x14ac:dyDescent="0.3">
      <c r="A393" s="1"/>
      <c r="B393" s="1"/>
      <c r="C393" s="4"/>
      <c r="D393" s="4"/>
      <c r="E393" s="4"/>
      <c r="F393" s="4"/>
      <c r="G393" s="4"/>
    </row>
    <row r="394" spans="1:7" ht="12.75" customHeight="1" x14ac:dyDescent="0.3">
      <c r="A394" s="1"/>
      <c r="B394" s="1"/>
      <c r="C394" s="4"/>
      <c r="D394" s="4"/>
      <c r="E394" s="4"/>
      <c r="F394" s="4"/>
      <c r="G394" s="4"/>
    </row>
    <row r="395" spans="1:7" ht="12.75" customHeight="1" x14ac:dyDescent="0.3">
      <c r="A395" s="1"/>
      <c r="B395" s="1"/>
      <c r="C395" s="4"/>
      <c r="D395" s="4"/>
      <c r="E395" s="4"/>
      <c r="F395" s="4"/>
      <c r="G395" s="4"/>
    </row>
    <row r="396" spans="1:7" ht="12.75" customHeight="1" x14ac:dyDescent="0.3">
      <c r="A396" s="1"/>
      <c r="B396" s="1"/>
      <c r="C396" s="4"/>
      <c r="D396" s="4"/>
      <c r="E396" s="4"/>
      <c r="F396" s="4"/>
      <c r="G396" s="4"/>
    </row>
    <row r="397" spans="1:7" ht="12.75" customHeight="1" x14ac:dyDescent="0.3">
      <c r="A397" s="1"/>
      <c r="B397" s="1"/>
      <c r="C397" s="4"/>
      <c r="D397" s="4"/>
      <c r="E397" s="4"/>
      <c r="F397" s="4"/>
      <c r="G397" s="4"/>
    </row>
    <row r="398" spans="1:7" ht="12.75" customHeight="1" x14ac:dyDescent="0.3">
      <c r="A398" s="1"/>
      <c r="B398" s="1"/>
      <c r="C398" s="4"/>
      <c r="D398" s="4"/>
      <c r="E398" s="4"/>
      <c r="F398" s="4"/>
      <c r="G398" s="4"/>
    </row>
    <row r="399" spans="1:7" ht="12.75" customHeight="1" x14ac:dyDescent="0.3">
      <c r="A399" s="1"/>
      <c r="B399" s="1"/>
      <c r="C399" s="4"/>
      <c r="D399" s="4"/>
      <c r="E399" s="4"/>
      <c r="F399" s="4"/>
      <c r="G399" s="4"/>
    </row>
    <row r="400" spans="1:7" ht="12.75" customHeight="1" x14ac:dyDescent="0.3">
      <c r="A400" s="1"/>
      <c r="B400" s="1"/>
      <c r="C400" s="4"/>
      <c r="D400" s="4"/>
      <c r="E400" s="4"/>
      <c r="F400" s="4"/>
      <c r="G400" s="4"/>
    </row>
    <row r="401" spans="1:7" ht="12.75" customHeight="1" x14ac:dyDescent="0.3">
      <c r="A401" s="1"/>
      <c r="B401" s="1"/>
      <c r="C401" s="4"/>
      <c r="D401" s="4"/>
      <c r="E401" s="4"/>
      <c r="F401" s="4"/>
      <c r="G401" s="4"/>
    </row>
    <row r="402" spans="1:7" ht="12.75" customHeight="1" x14ac:dyDescent="0.3">
      <c r="A402" s="1"/>
      <c r="B402" s="1"/>
      <c r="C402" s="4"/>
      <c r="D402" s="4"/>
      <c r="E402" s="4"/>
      <c r="F402" s="4"/>
      <c r="G402" s="4"/>
    </row>
    <row r="403" spans="1:7" ht="12.75" customHeight="1" x14ac:dyDescent="0.3">
      <c r="A403" s="1"/>
      <c r="B403" s="1"/>
      <c r="C403" s="4"/>
      <c r="D403" s="4"/>
      <c r="E403" s="4"/>
      <c r="F403" s="4"/>
      <c r="G403" s="4"/>
    </row>
    <row r="404" spans="1:7" ht="12.75" customHeight="1" x14ac:dyDescent="0.3">
      <c r="A404" s="1"/>
      <c r="B404" s="1"/>
      <c r="C404" s="4"/>
      <c r="D404" s="4"/>
      <c r="E404" s="4"/>
      <c r="F404" s="4"/>
      <c r="G404" s="4"/>
    </row>
    <row r="405" spans="1:7" ht="12.75" customHeight="1" x14ac:dyDescent="0.3">
      <c r="A405" s="1"/>
      <c r="B405" s="1"/>
      <c r="C405" s="4"/>
      <c r="D405" s="4"/>
      <c r="E405" s="4"/>
      <c r="F405" s="4"/>
      <c r="G405" s="4"/>
    </row>
    <row r="406" spans="1:7" ht="12.75" customHeight="1" x14ac:dyDescent="0.3">
      <c r="A406" s="1"/>
      <c r="B406" s="1"/>
      <c r="C406" s="4"/>
      <c r="D406" s="4"/>
      <c r="E406" s="4"/>
      <c r="F406" s="4"/>
      <c r="G406" s="4"/>
    </row>
    <row r="407" spans="1:7" ht="12.75" customHeight="1" x14ac:dyDescent="0.3">
      <c r="A407" s="1"/>
      <c r="B407" s="1"/>
      <c r="C407" s="4"/>
      <c r="D407" s="4"/>
      <c r="E407" s="4"/>
      <c r="F407" s="4"/>
      <c r="G407" s="4"/>
    </row>
    <row r="408" spans="1:7" ht="12.75" customHeight="1" x14ac:dyDescent="0.3">
      <c r="A408" s="1"/>
      <c r="B408" s="1"/>
      <c r="C408" s="4"/>
      <c r="D408" s="4"/>
      <c r="E408" s="4"/>
      <c r="F408" s="4"/>
      <c r="G408" s="4"/>
    </row>
    <row r="409" spans="1:7" ht="12.75" customHeight="1" x14ac:dyDescent="0.3">
      <c r="A409" s="1"/>
      <c r="B409" s="1"/>
      <c r="C409" s="4"/>
      <c r="D409" s="4"/>
      <c r="E409" s="4"/>
      <c r="F409" s="4"/>
      <c r="G409" s="4"/>
    </row>
    <row r="410" spans="1:7" ht="12.75" customHeight="1" x14ac:dyDescent="0.3">
      <c r="A410" s="1"/>
      <c r="B410" s="1"/>
      <c r="C410" s="4"/>
      <c r="D410" s="4"/>
      <c r="E410" s="4"/>
      <c r="F410" s="4"/>
      <c r="G410" s="4"/>
    </row>
    <row r="411" spans="1:7" ht="12.75" customHeight="1" x14ac:dyDescent="0.3">
      <c r="A411" s="1"/>
      <c r="B411" s="1"/>
      <c r="C411" s="4"/>
      <c r="D411" s="4"/>
      <c r="E411" s="4"/>
      <c r="F411" s="4"/>
      <c r="G411" s="4"/>
    </row>
    <row r="412" spans="1:7" ht="12.75" customHeight="1" x14ac:dyDescent="0.3">
      <c r="A412" s="1"/>
      <c r="B412" s="1"/>
      <c r="C412" s="4"/>
      <c r="D412" s="4"/>
      <c r="E412" s="4"/>
      <c r="F412" s="4"/>
      <c r="G412" s="4"/>
    </row>
    <row r="413" spans="1:7" ht="12.75" customHeight="1" x14ac:dyDescent="0.3">
      <c r="A413" s="1"/>
      <c r="B413" s="1"/>
      <c r="C413" s="4"/>
      <c r="D413" s="4"/>
      <c r="E413" s="4"/>
      <c r="F413" s="4"/>
      <c r="G413" s="4"/>
    </row>
    <row r="414" spans="1:7" ht="12.75" customHeight="1" x14ac:dyDescent="0.3">
      <c r="A414" s="1"/>
      <c r="B414" s="1"/>
      <c r="C414" s="4"/>
      <c r="D414" s="4"/>
      <c r="E414" s="4"/>
      <c r="F414" s="4"/>
      <c r="G414" s="4"/>
    </row>
    <row r="415" spans="1:7" ht="12.75" customHeight="1" x14ac:dyDescent="0.3">
      <c r="A415" s="1"/>
      <c r="B415" s="1"/>
      <c r="C415" s="4"/>
      <c r="D415" s="4"/>
      <c r="E415" s="4"/>
      <c r="F415" s="4"/>
      <c r="G415" s="4"/>
    </row>
    <row r="416" spans="1:7" ht="12.75" customHeight="1" x14ac:dyDescent="0.3">
      <c r="A416" s="1"/>
      <c r="B416" s="1"/>
      <c r="C416" s="4"/>
      <c r="D416" s="4"/>
      <c r="E416" s="4"/>
      <c r="F416" s="4"/>
      <c r="G416" s="4"/>
    </row>
    <row r="417" spans="1:7" ht="12.75" customHeight="1" x14ac:dyDescent="0.3">
      <c r="A417" s="1"/>
      <c r="B417" s="1"/>
      <c r="C417" s="4"/>
      <c r="D417" s="4"/>
      <c r="E417" s="4"/>
      <c r="F417" s="4"/>
      <c r="G417" s="4"/>
    </row>
    <row r="418" spans="1:7" ht="12.75" customHeight="1" x14ac:dyDescent="0.3">
      <c r="A418" s="1"/>
      <c r="B418" s="1"/>
      <c r="C418" s="4"/>
      <c r="D418" s="4"/>
      <c r="E418" s="4"/>
      <c r="F418" s="4"/>
      <c r="G418" s="4"/>
    </row>
    <row r="419" spans="1:7" ht="12.75" customHeight="1" x14ac:dyDescent="0.3">
      <c r="A419" s="1"/>
      <c r="B419" s="1"/>
      <c r="C419" s="4"/>
      <c r="D419" s="4"/>
      <c r="E419" s="4"/>
      <c r="F419" s="4"/>
      <c r="G419" s="4"/>
    </row>
    <row r="420" spans="1:7" ht="12.75" customHeight="1" x14ac:dyDescent="0.3">
      <c r="A420" s="1"/>
      <c r="B420" s="1"/>
      <c r="C420" s="4"/>
      <c r="D420" s="4"/>
      <c r="E420" s="4"/>
      <c r="F420" s="4"/>
      <c r="G420" s="4"/>
    </row>
    <row r="421" spans="1:7" ht="12.75" customHeight="1" x14ac:dyDescent="0.3">
      <c r="A421" s="1"/>
      <c r="B421" s="1"/>
      <c r="C421" s="4"/>
      <c r="D421" s="4"/>
      <c r="E421" s="4"/>
      <c r="F421" s="4"/>
      <c r="G421" s="4"/>
    </row>
    <row r="422" spans="1:7" ht="12.75" customHeight="1" x14ac:dyDescent="0.3">
      <c r="A422" s="1"/>
      <c r="B422" s="1"/>
      <c r="C422" s="4"/>
      <c r="D422" s="4"/>
      <c r="E422" s="4"/>
      <c r="F422" s="4"/>
      <c r="G422" s="4"/>
    </row>
    <row r="423" spans="1:7" ht="12.75" customHeight="1" x14ac:dyDescent="0.3">
      <c r="A423" s="1"/>
      <c r="B423" s="1"/>
      <c r="C423" s="4"/>
      <c r="D423" s="4"/>
      <c r="E423" s="4"/>
      <c r="F423" s="4"/>
      <c r="G423" s="4"/>
    </row>
    <row r="424" spans="1:7" ht="12.75" customHeight="1" x14ac:dyDescent="0.3">
      <c r="A424" s="1"/>
      <c r="B424" s="1"/>
      <c r="C424" s="4"/>
      <c r="D424" s="4"/>
      <c r="E424" s="4"/>
      <c r="F424" s="4"/>
      <c r="G424" s="4"/>
    </row>
    <row r="425" spans="1:7" ht="12.75" customHeight="1" x14ac:dyDescent="0.3">
      <c r="A425" s="1"/>
      <c r="B425" s="1"/>
      <c r="C425" s="4"/>
      <c r="D425" s="4"/>
      <c r="E425" s="4"/>
      <c r="F425" s="4"/>
      <c r="G425" s="4"/>
    </row>
    <row r="426" spans="1:7" ht="12.75" customHeight="1" x14ac:dyDescent="0.3">
      <c r="A426" s="1"/>
      <c r="B426" s="1"/>
      <c r="C426" s="4"/>
      <c r="D426" s="4"/>
      <c r="E426" s="4"/>
      <c r="F426" s="4"/>
      <c r="G426" s="4"/>
    </row>
    <row r="427" spans="1:7" ht="12.75" customHeight="1" x14ac:dyDescent="0.3">
      <c r="A427" s="1"/>
      <c r="B427" s="1"/>
      <c r="C427" s="4"/>
      <c r="D427" s="4"/>
      <c r="E427" s="4"/>
      <c r="F427" s="4"/>
      <c r="G427" s="4"/>
    </row>
    <row r="428" spans="1:7" ht="12.75" customHeight="1" x14ac:dyDescent="0.3">
      <c r="A428" s="1"/>
      <c r="B428" s="1"/>
      <c r="C428" s="4"/>
      <c r="D428" s="4"/>
      <c r="E428" s="4"/>
      <c r="F428" s="4"/>
      <c r="G428" s="4"/>
    </row>
    <row r="429" spans="1:7" ht="12.75" customHeight="1" x14ac:dyDescent="0.3">
      <c r="A429" s="1"/>
      <c r="B429" s="1"/>
      <c r="C429" s="4"/>
      <c r="D429" s="4"/>
      <c r="E429" s="4"/>
      <c r="F429" s="4"/>
      <c r="G429" s="4"/>
    </row>
    <row r="430" spans="1:7" ht="12.75" customHeight="1" x14ac:dyDescent="0.3">
      <c r="A430" s="1"/>
      <c r="B430" s="1"/>
      <c r="C430" s="4"/>
      <c r="D430" s="4"/>
      <c r="E430" s="4"/>
      <c r="F430" s="4"/>
      <c r="G430" s="4"/>
    </row>
    <row r="431" spans="1:7" ht="12.75" customHeight="1" x14ac:dyDescent="0.3">
      <c r="A431" s="1"/>
      <c r="B431" s="1"/>
      <c r="C431" s="4"/>
      <c r="D431" s="4"/>
      <c r="E431" s="4"/>
      <c r="F431" s="4"/>
      <c r="G431" s="4"/>
    </row>
    <row r="432" spans="1:7" ht="12.75" customHeight="1" x14ac:dyDescent="0.3">
      <c r="A432" s="1"/>
      <c r="B432" s="1"/>
      <c r="C432" s="4"/>
      <c r="D432" s="4"/>
      <c r="E432" s="4"/>
      <c r="F432" s="4"/>
      <c r="G432" s="4"/>
    </row>
    <row r="433" spans="1:7" ht="12.75" customHeight="1" x14ac:dyDescent="0.3">
      <c r="A433" s="1"/>
      <c r="B433" s="1"/>
      <c r="C433" s="4"/>
      <c r="D433" s="4"/>
      <c r="E433" s="4"/>
      <c r="F433" s="4"/>
      <c r="G433" s="4"/>
    </row>
    <row r="434" spans="1:7" ht="12.75" customHeight="1" x14ac:dyDescent="0.3">
      <c r="A434" s="1"/>
      <c r="B434" s="1"/>
      <c r="C434" s="4"/>
      <c r="D434" s="4"/>
      <c r="E434" s="4"/>
      <c r="F434" s="4"/>
      <c r="G434" s="4"/>
    </row>
    <row r="435" spans="1:7" ht="12.75" customHeight="1" x14ac:dyDescent="0.3">
      <c r="A435" s="1"/>
      <c r="B435" s="1"/>
      <c r="C435" s="4"/>
      <c r="D435" s="4"/>
      <c r="E435" s="4"/>
      <c r="F435" s="4"/>
      <c r="G435" s="4"/>
    </row>
    <row r="436" spans="1:7" ht="12.75" customHeight="1" x14ac:dyDescent="0.3">
      <c r="A436" s="1"/>
      <c r="B436" s="1"/>
      <c r="C436" s="4"/>
      <c r="D436" s="4"/>
      <c r="E436" s="4"/>
      <c r="F436" s="4"/>
      <c r="G436" s="4"/>
    </row>
    <row r="437" spans="1:7" ht="12.75" customHeight="1" x14ac:dyDescent="0.3">
      <c r="A437" s="1"/>
      <c r="B437" s="1"/>
      <c r="C437" s="4"/>
      <c r="D437" s="4"/>
      <c r="E437" s="4"/>
      <c r="F437" s="4"/>
      <c r="G437" s="4"/>
    </row>
    <row r="438" spans="1:7" ht="12.75" customHeight="1" x14ac:dyDescent="0.3">
      <c r="A438" s="1"/>
      <c r="B438" s="1"/>
      <c r="C438" s="4"/>
      <c r="D438" s="4"/>
      <c r="E438" s="4"/>
      <c r="F438" s="4"/>
      <c r="G438" s="4"/>
    </row>
    <row r="439" spans="1:7" ht="12.75" customHeight="1" x14ac:dyDescent="0.3">
      <c r="A439" s="1"/>
      <c r="B439" s="1"/>
      <c r="C439" s="4"/>
      <c r="D439" s="4"/>
      <c r="E439" s="4"/>
      <c r="F439" s="4"/>
      <c r="G439" s="4"/>
    </row>
    <row r="440" spans="1:7" ht="12.75" customHeight="1" x14ac:dyDescent="0.3">
      <c r="A440" s="1"/>
      <c r="B440" s="1"/>
      <c r="C440" s="4"/>
      <c r="D440" s="4"/>
      <c r="E440" s="4"/>
      <c r="F440" s="4"/>
      <c r="G440" s="4"/>
    </row>
    <row r="441" spans="1:7" ht="12.75" customHeight="1" x14ac:dyDescent="0.3">
      <c r="A441" s="1"/>
      <c r="B441" s="1"/>
      <c r="C441" s="4"/>
      <c r="D441" s="4"/>
      <c r="E441" s="4"/>
      <c r="F441" s="4"/>
      <c r="G441" s="4"/>
    </row>
    <row r="442" spans="1:7" ht="12.75" customHeight="1" x14ac:dyDescent="0.3">
      <c r="A442" s="1"/>
      <c r="B442" s="1"/>
      <c r="C442" s="4"/>
      <c r="D442" s="4"/>
      <c r="E442" s="4"/>
      <c r="F442" s="4"/>
      <c r="G442" s="4"/>
    </row>
    <row r="443" spans="1:7" ht="12.75" customHeight="1" x14ac:dyDescent="0.3">
      <c r="A443" s="1"/>
      <c r="B443" s="1"/>
      <c r="C443" s="4"/>
      <c r="D443" s="4"/>
      <c r="E443" s="4"/>
      <c r="F443" s="4"/>
      <c r="G443" s="4"/>
    </row>
    <row r="444" spans="1:7" ht="12.75" customHeight="1" x14ac:dyDescent="0.3">
      <c r="A444" s="1"/>
      <c r="B444" s="1"/>
      <c r="C444" s="4"/>
      <c r="D444" s="4"/>
      <c r="E444" s="4"/>
      <c r="F444" s="4"/>
      <c r="G444" s="4"/>
    </row>
    <row r="445" spans="1:7" ht="12.75" customHeight="1" x14ac:dyDescent="0.3">
      <c r="A445" s="1"/>
      <c r="B445" s="1"/>
      <c r="C445" s="4"/>
      <c r="D445" s="4"/>
      <c r="E445" s="4"/>
      <c r="F445" s="4"/>
      <c r="G445" s="4"/>
    </row>
    <row r="446" spans="1:7" ht="12.75" customHeight="1" x14ac:dyDescent="0.3">
      <c r="A446" s="1"/>
      <c r="B446" s="1"/>
      <c r="C446" s="4"/>
      <c r="D446" s="4"/>
      <c r="E446" s="4"/>
      <c r="F446" s="4"/>
      <c r="G446" s="4"/>
    </row>
    <row r="447" spans="1:7" ht="12.75" customHeight="1" x14ac:dyDescent="0.3">
      <c r="A447" s="1"/>
      <c r="B447" s="1"/>
      <c r="C447" s="4"/>
      <c r="D447" s="4"/>
      <c r="E447" s="4"/>
      <c r="F447" s="4"/>
      <c r="G447" s="4"/>
    </row>
    <row r="448" spans="1:7" ht="12.75" customHeight="1" x14ac:dyDescent="0.3">
      <c r="A448" s="1"/>
      <c r="B448" s="1"/>
      <c r="C448" s="4"/>
      <c r="D448" s="4"/>
      <c r="E448" s="4"/>
      <c r="F448" s="4"/>
      <c r="G448" s="4"/>
    </row>
    <row r="449" spans="1:7" ht="12.75" customHeight="1" x14ac:dyDescent="0.3">
      <c r="A449" s="1"/>
      <c r="B449" s="1"/>
      <c r="C449" s="4"/>
      <c r="D449" s="4"/>
      <c r="E449" s="4"/>
      <c r="F449" s="4"/>
      <c r="G449" s="4"/>
    </row>
    <row r="450" spans="1:7" ht="12.75" customHeight="1" x14ac:dyDescent="0.3">
      <c r="A450" s="1"/>
      <c r="B450" s="1"/>
      <c r="C450" s="4"/>
      <c r="D450" s="4"/>
      <c r="E450" s="4"/>
      <c r="F450" s="4"/>
      <c r="G450" s="4"/>
    </row>
    <row r="451" spans="1:7" ht="12.75" customHeight="1" x14ac:dyDescent="0.3">
      <c r="A451" s="1"/>
      <c r="B451" s="1"/>
      <c r="C451" s="4"/>
      <c r="D451" s="4"/>
      <c r="E451" s="4"/>
      <c r="F451" s="4"/>
      <c r="G451" s="4"/>
    </row>
    <row r="452" spans="1:7" ht="12.75" customHeight="1" x14ac:dyDescent="0.3">
      <c r="A452" s="1"/>
      <c r="B452" s="1"/>
      <c r="C452" s="4"/>
      <c r="D452" s="4"/>
      <c r="E452" s="4"/>
      <c r="F452" s="4"/>
      <c r="G452" s="4"/>
    </row>
    <row r="453" spans="1:7" ht="12.75" customHeight="1" x14ac:dyDescent="0.3">
      <c r="A453" s="1"/>
      <c r="B453" s="1"/>
      <c r="C453" s="4"/>
      <c r="D453" s="4"/>
      <c r="E453" s="4"/>
      <c r="F453" s="4"/>
      <c r="G453" s="4"/>
    </row>
    <row r="454" spans="1:7" ht="12.75" customHeight="1" x14ac:dyDescent="0.3">
      <c r="A454" s="1"/>
      <c r="B454" s="1"/>
      <c r="C454" s="4"/>
      <c r="D454" s="4"/>
      <c r="E454" s="4"/>
      <c r="F454" s="4"/>
      <c r="G454" s="4"/>
    </row>
    <row r="455" spans="1:7" ht="12.75" customHeight="1" x14ac:dyDescent="0.3">
      <c r="A455" s="1"/>
      <c r="B455" s="1"/>
      <c r="C455" s="4"/>
      <c r="D455" s="4"/>
      <c r="E455" s="4"/>
      <c r="F455" s="4"/>
      <c r="G455" s="4"/>
    </row>
    <row r="456" spans="1:7" ht="12.75" customHeight="1" x14ac:dyDescent="0.3">
      <c r="A456" s="1"/>
      <c r="B456" s="1"/>
      <c r="C456" s="4"/>
      <c r="D456" s="4"/>
      <c r="E456" s="4"/>
      <c r="F456" s="4"/>
      <c r="G456" s="4"/>
    </row>
    <row r="457" spans="1:7" ht="12.75" customHeight="1" x14ac:dyDescent="0.3">
      <c r="A457" s="1"/>
      <c r="B457" s="1"/>
      <c r="C457" s="4"/>
      <c r="D457" s="4"/>
      <c r="E457" s="4"/>
      <c r="F457" s="4"/>
      <c r="G457" s="4"/>
    </row>
    <row r="458" spans="1:7" ht="12.75" customHeight="1" x14ac:dyDescent="0.3">
      <c r="A458" s="1"/>
      <c r="B458" s="1"/>
      <c r="C458" s="4"/>
      <c r="D458" s="4"/>
      <c r="E458" s="4"/>
      <c r="F458" s="4"/>
      <c r="G458" s="4"/>
    </row>
    <row r="459" spans="1:7" ht="12.75" customHeight="1" x14ac:dyDescent="0.3">
      <c r="A459" s="1"/>
      <c r="B459" s="1"/>
      <c r="C459" s="4"/>
      <c r="D459" s="4"/>
      <c r="E459" s="4"/>
      <c r="F459" s="4"/>
      <c r="G459" s="4"/>
    </row>
    <row r="460" spans="1:7" ht="12.75" customHeight="1" x14ac:dyDescent="0.3">
      <c r="A460" s="1"/>
      <c r="B460" s="1"/>
      <c r="C460" s="4"/>
      <c r="D460" s="4"/>
      <c r="E460" s="4"/>
      <c r="F460" s="4"/>
      <c r="G460" s="4"/>
    </row>
    <row r="461" spans="1:7" ht="12.75" customHeight="1" x14ac:dyDescent="0.3">
      <c r="A461" s="1"/>
      <c r="B461" s="1"/>
      <c r="C461" s="4"/>
      <c r="D461" s="4"/>
      <c r="E461" s="4"/>
      <c r="F461" s="4"/>
      <c r="G461" s="4"/>
    </row>
    <row r="462" spans="1:7" ht="12.75" customHeight="1" x14ac:dyDescent="0.3">
      <c r="A462" s="1"/>
      <c r="B462" s="1"/>
      <c r="C462" s="4"/>
      <c r="D462" s="4"/>
      <c r="E462" s="4"/>
      <c r="F462" s="4"/>
      <c r="G462" s="4"/>
    </row>
    <row r="463" spans="1:7" ht="12.75" customHeight="1" x14ac:dyDescent="0.3">
      <c r="A463" s="1"/>
      <c r="B463" s="1"/>
      <c r="C463" s="4"/>
      <c r="D463" s="4"/>
      <c r="E463" s="4"/>
      <c r="F463" s="4"/>
      <c r="G463" s="4"/>
    </row>
    <row r="464" spans="1:7" ht="12.75" customHeight="1" x14ac:dyDescent="0.3">
      <c r="A464" s="1"/>
      <c r="B464" s="1"/>
      <c r="C464" s="4"/>
      <c r="D464" s="4"/>
      <c r="E464" s="4"/>
      <c r="F464" s="4"/>
      <c r="G464" s="4"/>
    </row>
    <row r="465" spans="1:7" ht="12.75" customHeight="1" x14ac:dyDescent="0.3">
      <c r="A465" s="1"/>
      <c r="B465" s="1"/>
      <c r="C465" s="4"/>
      <c r="D465" s="4"/>
      <c r="E465" s="4"/>
      <c r="F465" s="4"/>
      <c r="G465" s="4"/>
    </row>
    <row r="466" spans="1:7" ht="12.75" customHeight="1" x14ac:dyDescent="0.3">
      <c r="A466" s="1"/>
      <c r="B466" s="1"/>
      <c r="C466" s="4"/>
      <c r="D466" s="4"/>
      <c r="E466" s="4"/>
      <c r="F466" s="4"/>
      <c r="G466" s="4"/>
    </row>
    <row r="467" spans="1:7" ht="12.75" customHeight="1" x14ac:dyDescent="0.3">
      <c r="A467" s="1"/>
      <c r="B467" s="1"/>
      <c r="C467" s="4"/>
      <c r="D467" s="4"/>
      <c r="E467" s="4"/>
      <c r="F467" s="4"/>
      <c r="G467" s="4"/>
    </row>
    <row r="468" spans="1:7" ht="12.75" customHeight="1" x14ac:dyDescent="0.3">
      <c r="A468" s="1"/>
      <c r="B468" s="1"/>
      <c r="C468" s="4"/>
      <c r="D468" s="4"/>
      <c r="E468" s="4"/>
      <c r="F468" s="4"/>
      <c r="G468" s="4"/>
    </row>
    <row r="469" spans="1:7" ht="12.75" customHeight="1" x14ac:dyDescent="0.3">
      <c r="A469" s="1"/>
      <c r="B469" s="1"/>
      <c r="C469" s="4"/>
      <c r="D469" s="4"/>
      <c r="E469" s="4"/>
      <c r="F469" s="4"/>
      <c r="G469" s="4"/>
    </row>
    <row r="470" spans="1:7" ht="12.75" customHeight="1" x14ac:dyDescent="0.3">
      <c r="A470" s="1"/>
      <c r="B470" s="1"/>
      <c r="C470" s="4"/>
      <c r="D470" s="4"/>
      <c r="E470" s="4"/>
      <c r="F470" s="4"/>
      <c r="G470" s="4"/>
    </row>
    <row r="471" spans="1:7" ht="12.75" customHeight="1" x14ac:dyDescent="0.3">
      <c r="A471" s="1"/>
      <c r="B471" s="1"/>
      <c r="C471" s="4"/>
      <c r="D471" s="4"/>
      <c r="E471" s="4"/>
      <c r="F471" s="4"/>
      <c r="G471" s="4"/>
    </row>
    <row r="472" spans="1:7" ht="12.75" customHeight="1" x14ac:dyDescent="0.3">
      <c r="A472" s="1"/>
      <c r="B472" s="1"/>
      <c r="C472" s="4"/>
      <c r="D472" s="4"/>
      <c r="E472" s="4"/>
      <c r="F472" s="4"/>
      <c r="G472" s="4"/>
    </row>
    <row r="473" spans="1:7" ht="12.75" customHeight="1" x14ac:dyDescent="0.3">
      <c r="A473" s="1"/>
      <c r="B473" s="1"/>
      <c r="C473" s="4"/>
      <c r="D473" s="4"/>
      <c r="E473" s="4"/>
      <c r="F473" s="4"/>
      <c r="G473" s="4"/>
    </row>
    <row r="474" spans="1:7" ht="12.75" customHeight="1" x14ac:dyDescent="0.3">
      <c r="A474" s="1"/>
      <c r="B474" s="1"/>
      <c r="C474" s="4"/>
      <c r="D474" s="4"/>
      <c r="E474" s="4"/>
      <c r="F474" s="4"/>
      <c r="G474" s="4"/>
    </row>
    <row r="475" spans="1:7" ht="12.75" customHeight="1" x14ac:dyDescent="0.3">
      <c r="A475" s="1"/>
      <c r="B475" s="1"/>
      <c r="C475" s="4"/>
      <c r="D475" s="4"/>
      <c r="E475" s="4"/>
      <c r="F475" s="4"/>
      <c r="G475" s="4"/>
    </row>
    <row r="476" spans="1:7" ht="12.75" customHeight="1" x14ac:dyDescent="0.3">
      <c r="A476" s="1"/>
      <c r="B476" s="1"/>
      <c r="C476" s="4"/>
      <c r="D476" s="4"/>
      <c r="E476" s="4"/>
      <c r="F476" s="4"/>
      <c r="G476" s="4"/>
    </row>
    <row r="477" spans="1:7" ht="12.75" customHeight="1" x14ac:dyDescent="0.3">
      <c r="A477" s="1"/>
      <c r="B477" s="1"/>
      <c r="C477" s="4"/>
      <c r="D477" s="4"/>
      <c r="E477" s="4"/>
      <c r="F477" s="4"/>
      <c r="G477" s="4"/>
    </row>
    <row r="478" spans="1:7" ht="12.75" customHeight="1" x14ac:dyDescent="0.3">
      <c r="A478" s="1"/>
      <c r="B478" s="1"/>
      <c r="C478" s="4"/>
      <c r="D478" s="4"/>
      <c r="E478" s="4"/>
      <c r="F478" s="4"/>
      <c r="G478" s="4"/>
    </row>
    <row r="479" spans="1:7" ht="12.75" customHeight="1" x14ac:dyDescent="0.3">
      <c r="A479" s="1"/>
      <c r="B479" s="1"/>
      <c r="C479" s="4"/>
      <c r="D479" s="4"/>
      <c r="E479" s="4"/>
      <c r="F479" s="4"/>
      <c r="G479" s="4"/>
    </row>
    <row r="480" spans="1:7" ht="12.75" customHeight="1" x14ac:dyDescent="0.3">
      <c r="A480" s="1"/>
      <c r="B480" s="1"/>
      <c r="C480" s="4"/>
      <c r="D480" s="4"/>
      <c r="E480" s="4"/>
      <c r="F480" s="4"/>
      <c r="G480" s="4"/>
    </row>
    <row r="481" spans="1:7" ht="12.75" customHeight="1" x14ac:dyDescent="0.3">
      <c r="A481" s="1"/>
      <c r="B481" s="1"/>
      <c r="C481" s="4"/>
      <c r="D481" s="4"/>
      <c r="E481" s="4"/>
      <c r="F481" s="4"/>
      <c r="G481" s="4"/>
    </row>
    <row r="482" spans="1:7" ht="12.75" customHeight="1" x14ac:dyDescent="0.3">
      <c r="A482" s="1"/>
      <c r="B482" s="1"/>
      <c r="C482" s="4"/>
      <c r="D482" s="4"/>
      <c r="E482" s="4"/>
      <c r="F482" s="4"/>
      <c r="G482" s="4"/>
    </row>
    <row r="483" spans="1:7" ht="12.75" customHeight="1" x14ac:dyDescent="0.3">
      <c r="A483" s="1"/>
      <c r="B483" s="1"/>
      <c r="C483" s="4"/>
      <c r="D483" s="4"/>
      <c r="E483" s="4"/>
      <c r="F483" s="4"/>
      <c r="G483" s="4"/>
    </row>
    <row r="484" spans="1:7" ht="12.75" customHeight="1" x14ac:dyDescent="0.3">
      <c r="A484" s="1"/>
      <c r="B484" s="1"/>
      <c r="C484" s="4"/>
      <c r="D484" s="4"/>
      <c r="E484" s="4"/>
      <c r="F484" s="4"/>
      <c r="G484" s="4"/>
    </row>
    <row r="485" spans="1:7" ht="12.75" customHeight="1" x14ac:dyDescent="0.3">
      <c r="A485" s="1"/>
      <c r="B485" s="1"/>
      <c r="C485" s="4"/>
      <c r="D485" s="4"/>
      <c r="E485" s="4"/>
      <c r="F485" s="4"/>
      <c r="G485" s="4"/>
    </row>
    <row r="486" spans="1:7" ht="12.75" customHeight="1" x14ac:dyDescent="0.3">
      <c r="A486" s="1"/>
      <c r="B486" s="1"/>
      <c r="C486" s="4"/>
      <c r="D486" s="4"/>
      <c r="E486" s="4"/>
      <c r="F486" s="4"/>
      <c r="G486" s="4"/>
    </row>
    <row r="487" spans="1:7" ht="12.75" customHeight="1" x14ac:dyDescent="0.3">
      <c r="A487" s="1"/>
      <c r="B487" s="1"/>
      <c r="C487" s="4"/>
      <c r="D487" s="4"/>
      <c r="E487" s="4"/>
      <c r="F487" s="4"/>
      <c r="G487" s="4"/>
    </row>
    <row r="488" spans="1:7" ht="12.75" customHeight="1" x14ac:dyDescent="0.3">
      <c r="A488" s="1"/>
      <c r="B488" s="1"/>
      <c r="C488" s="4"/>
      <c r="D488" s="4"/>
      <c r="E488" s="4"/>
      <c r="F488" s="4"/>
      <c r="G488" s="4"/>
    </row>
    <row r="489" spans="1:7" ht="12.75" customHeight="1" x14ac:dyDescent="0.3">
      <c r="A489" s="1"/>
      <c r="B489" s="1"/>
      <c r="C489" s="4"/>
      <c r="D489" s="4"/>
      <c r="E489" s="4"/>
      <c r="F489" s="4"/>
      <c r="G489" s="4"/>
    </row>
    <row r="490" spans="1:7" ht="12.75" customHeight="1" x14ac:dyDescent="0.3">
      <c r="A490" s="1"/>
      <c r="B490" s="1"/>
      <c r="C490" s="4"/>
      <c r="D490" s="4"/>
      <c r="E490" s="4"/>
      <c r="F490" s="4"/>
      <c r="G490" s="4"/>
    </row>
    <row r="491" spans="1:7" ht="12.75" customHeight="1" x14ac:dyDescent="0.3">
      <c r="A491" s="1"/>
      <c r="B491" s="1"/>
      <c r="C491" s="4"/>
      <c r="D491" s="4"/>
      <c r="E491" s="4"/>
      <c r="F491" s="4"/>
      <c r="G491" s="4"/>
    </row>
    <row r="492" spans="1:7" ht="12.75" customHeight="1" x14ac:dyDescent="0.3">
      <c r="A492" s="1"/>
      <c r="B492" s="1"/>
      <c r="C492" s="4"/>
      <c r="D492" s="4"/>
      <c r="E492" s="4"/>
      <c r="F492" s="4"/>
      <c r="G492" s="4"/>
    </row>
    <row r="493" spans="1:7" ht="12.75" customHeight="1" x14ac:dyDescent="0.3">
      <c r="A493" s="1"/>
      <c r="B493" s="1"/>
      <c r="C493" s="4"/>
      <c r="D493" s="4"/>
      <c r="E493" s="4"/>
      <c r="F493" s="4"/>
      <c r="G493" s="4"/>
    </row>
    <row r="494" spans="1:7" ht="12.75" customHeight="1" x14ac:dyDescent="0.3">
      <c r="A494" s="1"/>
      <c r="B494" s="1"/>
      <c r="C494" s="4"/>
      <c r="D494" s="4"/>
      <c r="E494" s="4"/>
      <c r="F494" s="4"/>
      <c r="G494" s="4"/>
    </row>
    <row r="495" spans="1:7" ht="12.75" customHeight="1" x14ac:dyDescent="0.3">
      <c r="A495" s="1"/>
      <c r="B495" s="1"/>
      <c r="C495" s="4"/>
      <c r="D495" s="4"/>
      <c r="E495" s="4"/>
      <c r="F495" s="4"/>
      <c r="G495" s="4"/>
    </row>
    <row r="496" spans="1:7" ht="12.75" customHeight="1" x14ac:dyDescent="0.3">
      <c r="A496" s="1"/>
      <c r="B496" s="1"/>
      <c r="C496" s="4"/>
      <c r="D496" s="4"/>
      <c r="E496" s="4"/>
      <c r="F496" s="4"/>
      <c r="G496" s="4"/>
    </row>
    <row r="497" spans="1:7" ht="12.75" customHeight="1" x14ac:dyDescent="0.3">
      <c r="A497" s="1"/>
      <c r="B497" s="1"/>
      <c r="C497" s="4"/>
      <c r="D497" s="4"/>
      <c r="E497" s="4"/>
      <c r="F497" s="4"/>
      <c r="G497" s="4"/>
    </row>
    <row r="498" spans="1:7" ht="12.75" customHeight="1" x14ac:dyDescent="0.3">
      <c r="A498" s="1"/>
      <c r="B498" s="1"/>
      <c r="C498" s="4"/>
      <c r="D498" s="4"/>
      <c r="E498" s="4"/>
      <c r="F498" s="4"/>
      <c r="G498" s="4"/>
    </row>
    <row r="499" spans="1:7" ht="12.75" customHeight="1" x14ac:dyDescent="0.3">
      <c r="A499" s="1"/>
      <c r="B499" s="1"/>
      <c r="C499" s="4"/>
      <c r="D499" s="4"/>
      <c r="E499" s="4"/>
      <c r="F499" s="4"/>
      <c r="G499" s="4"/>
    </row>
    <row r="500" spans="1:7" ht="12.75" customHeight="1" x14ac:dyDescent="0.3">
      <c r="A500" s="1"/>
      <c r="B500" s="1"/>
      <c r="C500" s="4"/>
      <c r="D500" s="4"/>
      <c r="E500" s="4"/>
      <c r="F500" s="4"/>
      <c r="G500" s="4"/>
    </row>
    <row r="501" spans="1:7" ht="12.75" customHeight="1" x14ac:dyDescent="0.3">
      <c r="A501" s="1"/>
      <c r="B501" s="1"/>
      <c r="C501" s="4"/>
      <c r="D501" s="4"/>
      <c r="E501" s="4"/>
      <c r="F501" s="4"/>
      <c r="G501" s="4"/>
    </row>
    <row r="502" spans="1:7" ht="12.75" customHeight="1" x14ac:dyDescent="0.3">
      <c r="A502" s="1"/>
      <c r="B502" s="1"/>
      <c r="C502" s="4"/>
      <c r="D502" s="4"/>
      <c r="E502" s="4"/>
      <c r="F502" s="4"/>
      <c r="G502" s="4"/>
    </row>
    <row r="503" spans="1:7" ht="12.75" customHeight="1" x14ac:dyDescent="0.3">
      <c r="A503" s="1"/>
      <c r="B503" s="1"/>
      <c r="C503" s="4"/>
      <c r="D503" s="4"/>
      <c r="E503" s="4"/>
      <c r="F503" s="4"/>
      <c r="G503" s="4"/>
    </row>
    <row r="504" spans="1:7" ht="12.75" customHeight="1" x14ac:dyDescent="0.3">
      <c r="A504" s="1"/>
      <c r="B504" s="1"/>
      <c r="C504" s="4"/>
      <c r="D504" s="4"/>
      <c r="E504" s="4"/>
      <c r="F504" s="4"/>
      <c r="G504" s="4"/>
    </row>
    <row r="505" spans="1:7" ht="12.75" customHeight="1" x14ac:dyDescent="0.3">
      <c r="A505" s="1"/>
      <c r="B505" s="1"/>
      <c r="C505" s="4"/>
      <c r="D505" s="4"/>
      <c r="E505" s="4"/>
      <c r="F505" s="4"/>
      <c r="G505" s="4"/>
    </row>
    <row r="506" spans="1:7" ht="12.75" customHeight="1" x14ac:dyDescent="0.3">
      <c r="A506" s="1"/>
      <c r="B506" s="1"/>
      <c r="C506" s="4"/>
      <c r="D506" s="4"/>
      <c r="E506" s="4"/>
      <c r="F506" s="4"/>
      <c r="G506" s="4"/>
    </row>
    <row r="507" spans="1:7" ht="12.75" customHeight="1" x14ac:dyDescent="0.3">
      <c r="A507" s="1"/>
      <c r="B507" s="1"/>
      <c r="C507" s="4"/>
      <c r="D507" s="4"/>
      <c r="E507" s="4"/>
      <c r="F507" s="4"/>
      <c r="G507" s="4"/>
    </row>
    <row r="508" spans="1:7" ht="12.75" customHeight="1" x14ac:dyDescent="0.3">
      <c r="A508" s="1"/>
      <c r="B508" s="1"/>
      <c r="C508" s="4"/>
      <c r="D508" s="4"/>
      <c r="E508" s="4"/>
      <c r="F508" s="4"/>
      <c r="G508" s="4"/>
    </row>
    <row r="509" spans="1:7" ht="12.75" customHeight="1" x14ac:dyDescent="0.3">
      <c r="A509" s="1"/>
      <c r="B509" s="1"/>
      <c r="C509" s="4"/>
      <c r="D509" s="4"/>
      <c r="E509" s="4"/>
      <c r="F509" s="4"/>
      <c r="G509" s="4"/>
    </row>
    <row r="510" spans="1:7" ht="12.75" customHeight="1" x14ac:dyDescent="0.3">
      <c r="A510" s="1"/>
      <c r="B510" s="1"/>
      <c r="C510" s="4"/>
      <c r="D510" s="4"/>
      <c r="E510" s="4"/>
      <c r="F510" s="4"/>
      <c r="G510" s="4"/>
    </row>
    <row r="511" spans="1:7" ht="12.75" customHeight="1" x14ac:dyDescent="0.3">
      <c r="A511" s="1"/>
      <c r="B511" s="1"/>
      <c r="C511" s="4"/>
      <c r="D511" s="4"/>
      <c r="E511" s="4"/>
      <c r="F511" s="4"/>
      <c r="G511" s="4"/>
    </row>
    <row r="512" spans="1:7" ht="12.75" customHeight="1" x14ac:dyDescent="0.3">
      <c r="A512" s="1"/>
      <c r="B512" s="1"/>
      <c r="C512" s="4"/>
      <c r="D512" s="4"/>
      <c r="E512" s="4"/>
      <c r="F512" s="4"/>
      <c r="G512" s="4"/>
    </row>
    <row r="513" spans="1:7" ht="12.75" customHeight="1" x14ac:dyDescent="0.3">
      <c r="A513" s="1"/>
      <c r="B513" s="1"/>
      <c r="C513" s="4"/>
      <c r="D513" s="4"/>
      <c r="E513" s="4"/>
      <c r="F513" s="4"/>
      <c r="G513" s="4"/>
    </row>
    <row r="514" spans="1:7" ht="12.75" customHeight="1" x14ac:dyDescent="0.3">
      <c r="A514" s="1"/>
      <c r="B514" s="1"/>
      <c r="C514" s="4"/>
      <c r="D514" s="4"/>
      <c r="E514" s="4"/>
      <c r="F514" s="4"/>
      <c r="G514" s="4"/>
    </row>
    <row r="515" spans="1:7" ht="12.75" customHeight="1" x14ac:dyDescent="0.3">
      <c r="A515" s="1"/>
      <c r="B515" s="1"/>
      <c r="C515" s="4"/>
      <c r="D515" s="4"/>
      <c r="E515" s="4"/>
      <c r="F515" s="4"/>
      <c r="G515" s="4"/>
    </row>
    <row r="516" spans="1:7" ht="12.75" customHeight="1" x14ac:dyDescent="0.3">
      <c r="A516" s="1"/>
      <c r="B516" s="1"/>
      <c r="C516" s="4"/>
      <c r="D516" s="4"/>
      <c r="E516" s="4"/>
      <c r="F516" s="4"/>
      <c r="G516" s="4"/>
    </row>
    <row r="517" spans="1:7" ht="12.75" customHeight="1" x14ac:dyDescent="0.3">
      <c r="A517" s="1"/>
      <c r="B517" s="1"/>
      <c r="C517" s="4"/>
      <c r="D517" s="4"/>
      <c r="E517" s="4"/>
      <c r="F517" s="4"/>
      <c r="G517" s="4"/>
    </row>
    <row r="518" spans="1:7" ht="12.75" customHeight="1" x14ac:dyDescent="0.3">
      <c r="A518" s="1"/>
      <c r="B518" s="1"/>
      <c r="C518" s="4"/>
      <c r="D518" s="4"/>
      <c r="E518" s="4"/>
      <c r="F518" s="4"/>
      <c r="G518" s="4"/>
    </row>
    <row r="519" spans="1:7" ht="12.75" customHeight="1" x14ac:dyDescent="0.3">
      <c r="A519" s="1"/>
      <c r="B519" s="1"/>
      <c r="C519" s="4"/>
      <c r="D519" s="4"/>
      <c r="E519" s="4"/>
      <c r="F519" s="4"/>
      <c r="G519" s="4"/>
    </row>
    <row r="520" spans="1:7" ht="12.75" customHeight="1" x14ac:dyDescent="0.3">
      <c r="A520" s="1"/>
      <c r="B520" s="1"/>
      <c r="C520" s="4"/>
      <c r="D520" s="4"/>
      <c r="E520" s="4"/>
      <c r="F520" s="4"/>
      <c r="G520" s="4"/>
    </row>
    <row r="521" spans="1:7" ht="12.75" customHeight="1" x14ac:dyDescent="0.3">
      <c r="A521" s="1"/>
      <c r="B521" s="1"/>
      <c r="C521" s="4"/>
      <c r="D521" s="4"/>
      <c r="E521" s="4"/>
      <c r="F521" s="4"/>
      <c r="G521" s="4"/>
    </row>
    <row r="522" spans="1:7" ht="12.75" customHeight="1" x14ac:dyDescent="0.3">
      <c r="A522" s="1"/>
      <c r="B522" s="1"/>
      <c r="C522" s="4"/>
      <c r="D522" s="4"/>
      <c r="E522" s="4"/>
      <c r="F522" s="4"/>
      <c r="G522" s="4"/>
    </row>
    <row r="523" spans="1:7" ht="12.75" customHeight="1" x14ac:dyDescent="0.3">
      <c r="A523" s="1"/>
      <c r="B523" s="1"/>
      <c r="C523" s="4"/>
      <c r="D523" s="4"/>
      <c r="E523" s="4"/>
      <c r="F523" s="4"/>
      <c r="G523" s="4"/>
    </row>
    <row r="524" spans="1:7" ht="12.75" customHeight="1" x14ac:dyDescent="0.3">
      <c r="A524" s="1"/>
      <c r="B524" s="1"/>
      <c r="C524" s="4"/>
      <c r="D524" s="4"/>
      <c r="E524" s="4"/>
      <c r="F524" s="4"/>
      <c r="G524" s="4"/>
    </row>
    <row r="525" spans="1:7" ht="12.75" customHeight="1" x14ac:dyDescent="0.3">
      <c r="A525" s="1"/>
      <c r="B525" s="1"/>
      <c r="C525" s="4"/>
      <c r="D525" s="4"/>
      <c r="E525" s="4"/>
      <c r="F525" s="4"/>
      <c r="G525" s="4"/>
    </row>
    <row r="526" spans="1:7" ht="12.75" customHeight="1" x14ac:dyDescent="0.3">
      <c r="A526" s="1"/>
      <c r="B526" s="1"/>
      <c r="C526" s="4"/>
      <c r="D526" s="4"/>
      <c r="E526" s="4"/>
      <c r="F526" s="4"/>
      <c r="G526" s="4"/>
    </row>
    <row r="527" spans="1:7" ht="12.75" customHeight="1" x14ac:dyDescent="0.3">
      <c r="A527" s="1"/>
      <c r="B527" s="1"/>
      <c r="C527" s="4"/>
      <c r="D527" s="4"/>
      <c r="E527" s="4"/>
      <c r="F527" s="4"/>
      <c r="G527" s="4"/>
    </row>
    <row r="528" spans="1:7" ht="12.75" customHeight="1" x14ac:dyDescent="0.3">
      <c r="A528" s="1"/>
      <c r="B528" s="1"/>
      <c r="C528" s="4"/>
      <c r="D528" s="4"/>
      <c r="E528" s="4"/>
      <c r="F528" s="4"/>
      <c r="G528" s="4"/>
    </row>
    <row r="529" spans="1:7" ht="12.75" customHeight="1" x14ac:dyDescent="0.3">
      <c r="A529" s="1"/>
      <c r="B529" s="1"/>
      <c r="C529" s="4"/>
      <c r="D529" s="4"/>
      <c r="E529" s="4"/>
      <c r="F529" s="4"/>
      <c r="G529" s="4"/>
    </row>
    <row r="530" spans="1:7" ht="12.75" customHeight="1" x14ac:dyDescent="0.3">
      <c r="A530" s="1"/>
      <c r="B530" s="1"/>
      <c r="C530" s="4"/>
      <c r="D530" s="4"/>
      <c r="E530" s="4"/>
      <c r="F530" s="4"/>
      <c r="G530" s="4"/>
    </row>
    <row r="531" spans="1:7" ht="12.75" customHeight="1" x14ac:dyDescent="0.3">
      <c r="A531" s="1"/>
      <c r="B531" s="1"/>
      <c r="C531" s="4"/>
      <c r="D531" s="4"/>
      <c r="E531" s="4"/>
      <c r="F531" s="4"/>
      <c r="G531" s="4"/>
    </row>
    <row r="532" spans="1:7" ht="12.75" customHeight="1" x14ac:dyDescent="0.3">
      <c r="A532" s="1"/>
      <c r="B532" s="1"/>
      <c r="C532" s="4"/>
      <c r="D532" s="4"/>
      <c r="E532" s="4"/>
      <c r="F532" s="4"/>
      <c r="G532" s="4"/>
    </row>
    <row r="533" spans="1:7" ht="12.75" customHeight="1" x14ac:dyDescent="0.3">
      <c r="A533" s="1"/>
      <c r="B533" s="1"/>
      <c r="C533" s="4"/>
      <c r="D533" s="4"/>
      <c r="E533" s="4"/>
      <c r="F533" s="4"/>
      <c r="G533" s="4"/>
    </row>
    <row r="534" spans="1:7" ht="12.75" customHeight="1" x14ac:dyDescent="0.3">
      <c r="A534" s="1"/>
      <c r="B534" s="1"/>
      <c r="C534" s="4"/>
      <c r="D534" s="4"/>
      <c r="E534" s="4"/>
      <c r="F534" s="4"/>
      <c r="G534" s="4"/>
    </row>
    <row r="535" spans="1:7" ht="12.75" customHeight="1" x14ac:dyDescent="0.3">
      <c r="A535" s="1"/>
      <c r="B535" s="1"/>
      <c r="C535" s="4"/>
      <c r="D535" s="4"/>
      <c r="E535" s="4"/>
      <c r="F535" s="4"/>
      <c r="G535" s="4"/>
    </row>
    <row r="536" spans="1:7" ht="12.75" customHeight="1" x14ac:dyDescent="0.3">
      <c r="A536" s="1"/>
      <c r="B536" s="1"/>
      <c r="C536" s="4"/>
      <c r="D536" s="4"/>
      <c r="E536" s="4"/>
      <c r="F536" s="4"/>
      <c r="G536" s="4"/>
    </row>
    <row r="537" spans="1:7" ht="12.75" customHeight="1" x14ac:dyDescent="0.3">
      <c r="A537" s="1"/>
      <c r="B537" s="1"/>
      <c r="C537" s="4"/>
      <c r="D537" s="4"/>
      <c r="E537" s="4"/>
      <c r="F537" s="4"/>
      <c r="G537" s="4"/>
    </row>
    <row r="538" spans="1:7" ht="12.75" customHeight="1" x14ac:dyDescent="0.3">
      <c r="A538" s="1"/>
      <c r="B538" s="1"/>
      <c r="C538" s="4"/>
      <c r="D538" s="4"/>
      <c r="E538" s="4"/>
      <c r="F538" s="4"/>
      <c r="G538" s="4"/>
    </row>
    <row r="539" spans="1:7" ht="12.75" customHeight="1" x14ac:dyDescent="0.3">
      <c r="A539" s="1"/>
      <c r="B539" s="1"/>
      <c r="C539" s="4"/>
      <c r="D539" s="4"/>
      <c r="E539" s="4"/>
      <c r="F539" s="4"/>
      <c r="G539" s="4"/>
    </row>
    <row r="540" spans="1:7" ht="12.75" customHeight="1" x14ac:dyDescent="0.3">
      <c r="A540" s="1"/>
      <c r="B540" s="1"/>
      <c r="C540" s="4"/>
      <c r="D540" s="4"/>
      <c r="E540" s="4"/>
      <c r="F540" s="4"/>
      <c r="G540" s="4"/>
    </row>
    <row r="541" spans="1:7" ht="12.75" customHeight="1" x14ac:dyDescent="0.3">
      <c r="A541" s="1"/>
      <c r="B541" s="1"/>
      <c r="C541" s="4"/>
      <c r="D541" s="4"/>
      <c r="E541" s="4"/>
      <c r="F541" s="4"/>
      <c r="G541" s="4"/>
    </row>
    <row r="542" spans="1:7" ht="12.75" customHeight="1" x14ac:dyDescent="0.3">
      <c r="A542" s="1"/>
      <c r="B542" s="1"/>
      <c r="C542" s="4"/>
      <c r="D542" s="4"/>
      <c r="E542" s="4"/>
      <c r="F542" s="4"/>
      <c r="G542" s="4"/>
    </row>
    <row r="543" spans="1:7" ht="12.75" customHeight="1" x14ac:dyDescent="0.3">
      <c r="A543" s="1"/>
      <c r="B543" s="1"/>
      <c r="C543" s="4"/>
      <c r="D543" s="4"/>
      <c r="E543" s="4"/>
      <c r="F543" s="4"/>
      <c r="G543" s="4"/>
    </row>
    <row r="544" spans="1:7" ht="12.75" customHeight="1" x14ac:dyDescent="0.3">
      <c r="A544" s="1"/>
      <c r="B544" s="1"/>
      <c r="C544" s="4"/>
      <c r="D544" s="4"/>
      <c r="E544" s="4"/>
      <c r="F544" s="4"/>
      <c r="G544" s="4"/>
    </row>
    <row r="545" spans="1:7" ht="12.75" customHeight="1" x14ac:dyDescent="0.3">
      <c r="A545" s="1"/>
      <c r="B545" s="1"/>
      <c r="C545" s="4"/>
      <c r="D545" s="4"/>
      <c r="E545" s="4"/>
      <c r="F545" s="4"/>
      <c r="G545" s="4"/>
    </row>
    <row r="546" spans="1:7" ht="12.75" customHeight="1" x14ac:dyDescent="0.3">
      <c r="A546" s="1"/>
      <c r="B546" s="1"/>
      <c r="C546" s="4"/>
      <c r="D546" s="4"/>
      <c r="E546" s="4"/>
      <c r="F546" s="4"/>
      <c r="G546" s="4"/>
    </row>
    <row r="547" spans="1:7" ht="12.75" customHeight="1" x14ac:dyDescent="0.3">
      <c r="A547" s="1"/>
      <c r="B547" s="1"/>
      <c r="C547" s="4"/>
      <c r="D547" s="4"/>
      <c r="E547" s="4"/>
      <c r="F547" s="4"/>
      <c r="G547" s="4"/>
    </row>
    <row r="548" spans="1:7" ht="12.75" customHeight="1" x14ac:dyDescent="0.3">
      <c r="A548" s="1"/>
      <c r="B548" s="1"/>
      <c r="C548" s="4"/>
      <c r="D548" s="4"/>
      <c r="E548" s="4"/>
      <c r="F548" s="4"/>
      <c r="G548" s="4"/>
    </row>
    <row r="549" spans="1:7" ht="12.75" customHeight="1" x14ac:dyDescent="0.3">
      <c r="A549" s="1"/>
      <c r="B549" s="1"/>
      <c r="C549" s="4"/>
      <c r="D549" s="4"/>
      <c r="E549" s="4"/>
      <c r="F549" s="4"/>
      <c r="G549" s="4"/>
    </row>
    <row r="550" spans="1:7" ht="12.75" customHeight="1" x14ac:dyDescent="0.3">
      <c r="A550" s="1"/>
      <c r="B550" s="1"/>
      <c r="C550" s="4"/>
      <c r="D550" s="4"/>
      <c r="E550" s="4"/>
      <c r="F550" s="4"/>
      <c r="G550" s="4"/>
    </row>
    <row r="551" spans="1:7" ht="12.75" customHeight="1" x14ac:dyDescent="0.3">
      <c r="A551" s="1"/>
      <c r="B551" s="1"/>
      <c r="C551" s="4"/>
      <c r="D551" s="4"/>
      <c r="E551" s="4"/>
      <c r="F551" s="4"/>
      <c r="G551" s="4"/>
    </row>
    <row r="552" spans="1:7" ht="12.75" customHeight="1" x14ac:dyDescent="0.3">
      <c r="A552" s="1"/>
      <c r="B552" s="1"/>
      <c r="C552" s="4"/>
      <c r="D552" s="4"/>
      <c r="E552" s="4"/>
      <c r="F552" s="4"/>
      <c r="G552" s="4"/>
    </row>
    <row r="553" spans="1:7" ht="12.75" customHeight="1" x14ac:dyDescent="0.3">
      <c r="A553" s="1"/>
      <c r="B553" s="1"/>
      <c r="C553" s="4"/>
      <c r="D553" s="4"/>
      <c r="E553" s="4"/>
      <c r="F553" s="4"/>
      <c r="G553" s="4"/>
    </row>
    <row r="554" spans="1:7" ht="12.75" customHeight="1" x14ac:dyDescent="0.3">
      <c r="A554" s="1"/>
      <c r="B554" s="1"/>
      <c r="C554" s="4"/>
      <c r="D554" s="4"/>
      <c r="E554" s="4"/>
      <c r="F554" s="4"/>
      <c r="G554" s="4"/>
    </row>
    <row r="555" spans="1:7" ht="12.75" customHeight="1" x14ac:dyDescent="0.3">
      <c r="A555" s="1"/>
      <c r="B555" s="1"/>
      <c r="C555" s="4"/>
      <c r="D555" s="4"/>
      <c r="E555" s="4"/>
      <c r="F555" s="4"/>
      <c r="G555" s="4"/>
    </row>
    <row r="556" spans="1:7" ht="12.75" customHeight="1" x14ac:dyDescent="0.3">
      <c r="A556" s="1"/>
      <c r="B556" s="1"/>
      <c r="C556" s="4"/>
      <c r="D556" s="4"/>
      <c r="E556" s="4"/>
      <c r="F556" s="4"/>
      <c r="G556" s="4"/>
    </row>
    <row r="557" spans="1:7" ht="12.75" customHeight="1" x14ac:dyDescent="0.3">
      <c r="A557" s="1"/>
      <c r="B557" s="1"/>
      <c r="C557" s="4"/>
      <c r="D557" s="4"/>
      <c r="E557" s="4"/>
      <c r="F557" s="4"/>
      <c r="G557" s="4"/>
    </row>
    <row r="558" spans="1:7" ht="12.75" customHeight="1" x14ac:dyDescent="0.3">
      <c r="A558" s="1"/>
      <c r="B558" s="1"/>
      <c r="C558" s="4"/>
      <c r="D558" s="4"/>
      <c r="E558" s="4"/>
      <c r="F558" s="4"/>
      <c r="G558" s="4"/>
    </row>
    <row r="559" spans="1:7" ht="12.75" customHeight="1" x14ac:dyDescent="0.3">
      <c r="A559" s="1"/>
      <c r="B559" s="1"/>
      <c r="C559" s="4"/>
      <c r="D559" s="4"/>
      <c r="E559" s="4"/>
      <c r="F559" s="4"/>
      <c r="G559" s="4"/>
    </row>
    <row r="560" spans="1:7" ht="12.75" customHeight="1" x14ac:dyDescent="0.3">
      <c r="A560" s="1"/>
      <c r="B560" s="1"/>
      <c r="C560" s="4"/>
      <c r="D560" s="4"/>
      <c r="E560" s="4"/>
      <c r="F560" s="4"/>
      <c r="G560" s="4"/>
    </row>
    <row r="561" spans="1:7" ht="12.75" customHeight="1" x14ac:dyDescent="0.3">
      <c r="A561" s="1"/>
      <c r="B561" s="1"/>
      <c r="C561" s="4"/>
      <c r="D561" s="4"/>
      <c r="E561" s="4"/>
      <c r="F561" s="4"/>
      <c r="G561" s="4"/>
    </row>
    <row r="562" spans="1:7" ht="12.75" customHeight="1" x14ac:dyDescent="0.3">
      <c r="A562" s="1"/>
      <c r="B562" s="1"/>
      <c r="C562" s="4"/>
      <c r="D562" s="4"/>
      <c r="E562" s="4"/>
      <c r="F562" s="4"/>
      <c r="G562" s="4"/>
    </row>
    <row r="563" spans="1:7" ht="12.75" customHeight="1" x14ac:dyDescent="0.3">
      <c r="A563" s="1"/>
      <c r="B563" s="1"/>
      <c r="C563" s="4"/>
      <c r="D563" s="4"/>
      <c r="E563" s="4"/>
      <c r="F563" s="4"/>
      <c r="G563" s="4"/>
    </row>
    <row r="564" spans="1:7" ht="12.75" customHeight="1" x14ac:dyDescent="0.3">
      <c r="A564" s="1"/>
      <c r="B564" s="1"/>
      <c r="C564" s="4"/>
      <c r="D564" s="4"/>
      <c r="E564" s="4"/>
      <c r="F564" s="4"/>
      <c r="G564" s="4"/>
    </row>
    <row r="565" spans="1:7" ht="12.75" customHeight="1" x14ac:dyDescent="0.3">
      <c r="A565" s="1"/>
      <c r="B565" s="1"/>
      <c r="C565" s="4"/>
      <c r="D565" s="4"/>
      <c r="E565" s="4"/>
      <c r="F565" s="4"/>
      <c r="G565" s="4"/>
    </row>
    <row r="566" spans="1:7" ht="12.75" customHeight="1" x14ac:dyDescent="0.3">
      <c r="A566" s="1"/>
      <c r="B566" s="1"/>
      <c r="C566" s="4"/>
      <c r="D566" s="4"/>
      <c r="E566" s="4"/>
      <c r="F566" s="4"/>
      <c r="G566" s="4"/>
    </row>
    <row r="567" spans="1:7" ht="12.75" customHeight="1" x14ac:dyDescent="0.3">
      <c r="A567" s="1"/>
      <c r="B567" s="1"/>
      <c r="C567" s="4"/>
      <c r="D567" s="4"/>
      <c r="E567" s="4"/>
      <c r="F567" s="4"/>
      <c r="G567" s="4"/>
    </row>
    <row r="568" spans="1:7" ht="12.75" customHeight="1" x14ac:dyDescent="0.3">
      <c r="A568" s="1"/>
      <c r="B568" s="1"/>
      <c r="C568" s="4"/>
      <c r="D568" s="4"/>
      <c r="E568" s="4"/>
      <c r="F568" s="4"/>
      <c r="G568" s="4"/>
    </row>
    <row r="569" spans="1:7" ht="12.75" customHeight="1" x14ac:dyDescent="0.3">
      <c r="A569" s="1"/>
      <c r="B569" s="1"/>
      <c r="C569" s="4"/>
      <c r="D569" s="4"/>
      <c r="E569" s="4"/>
      <c r="F569" s="4"/>
      <c r="G569" s="4"/>
    </row>
    <row r="570" spans="1:7" ht="12.75" customHeight="1" x14ac:dyDescent="0.3">
      <c r="A570" s="1"/>
      <c r="B570" s="1"/>
      <c r="C570" s="4"/>
      <c r="D570" s="4"/>
      <c r="E570" s="4"/>
      <c r="F570" s="4"/>
      <c r="G570" s="4"/>
    </row>
    <row r="571" spans="1:7" ht="12.75" customHeight="1" x14ac:dyDescent="0.3">
      <c r="A571" s="1"/>
      <c r="B571" s="1"/>
      <c r="C571" s="4"/>
      <c r="D571" s="4"/>
      <c r="E571" s="4"/>
      <c r="F571" s="4"/>
      <c r="G571" s="4"/>
    </row>
    <row r="572" spans="1:7" ht="12.75" customHeight="1" x14ac:dyDescent="0.3">
      <c r="A572" s="1"/>
      <c r="B572" s="1"/>
      <c r="C572" s="4"/>
      <c r="D572" s="4"/>
      <c r="E572" s="4"/>
      <c r="F572" s="4"/>
      <c r="G572" s="4"/>
    </row>
    <row r="573" spans="1:7" ht="12.75" customHeight="1" x14ac:dyDescent="0.3">
      <c r="A573" s="1"/>
      <c r="B573" s="1"/>
      <c r="C573" s="4"/>
      <c r="D573" s="4"/>
      <c r="E573" s="4"/>
      <c r="F573" s="4"/>
      <c r="G573" s="4"/>
    </row>
    <row r="574" spans="1:7" ht="12.75" customHeight="1" x14ac:dyDescent="0.3">
      <c r="A574" s="1"/>
      <c r="B574" s="1"/>
      <c r="C574" s="4"/>
      <c r="D574" s="4"/>
      <c r="E574" s="4"/>
      <c r="F574" s="4"/>
      <c r="G574" s="4"/>
    </row>
    <row r="575" spans="1:7" ht="12.75" customHeight="1" x14ac:dyDescent="0.3">
      <c r="A575" s="1"/>
      <c r="B575" s="1"/>
      <c r="C575" s="4"/>
      <c r="D575" s="4"/>
      <c r="E575" s="4"/>
      <c r="F575" s="4"/>
      <c r="G575" s="4"/>
    </row>
    <row r="576" spans="1:7" ht="12.75" customHeight="1" x14ac:dyDescent="0.3">
      <c r="A576" s="1"/>
      <c r="B576" s="1"/>
      <c r="C576" s="4"/>
      <c r="D576" s="4"/>
      <c r="E576" s="4"/>
      <c r="F576" s="4"/>
      <c r="G576" s="4"/>
    </row>
    <row r="577" spans="1:7" ht="12.75" customHeight="1" x14ac:dyDescent="0.3">
      <c r="A577" s="1"/>
      <c r="B577" s="1"/>
      <c r="C577" s="4"/>
      <c r="D577" s="4"/>
      <c r="E577" s="4"/>
      <c r="F577" s="4"/>
      <c r="G577" s="4"/>
    </row>
    <row r="578" spans="1:7" ht="12.75" customHeight="1" x14ac:dyDescent="0.3">
      <c r="A578" s="1"/>
      <c r="B578" s="1"/>
      <c r="C578" s="4"/>
      <c r="D578" s="4"/>
      <c r="E578" s="4"/>
      <c r="F578" s="4"/>
      <c r="G578" s="4"/>
    </row>
    <row r="579" spans="1:7" ht="12.75" customHeight="1" x14ac:dyDescent="0.3">
      <c r="A579" s="1"/>
      <c r="B579" s="1"/>
      <c r="C579" s="4"/>
      <c r="D579" s="4"/>
      <c r="E579" s="4"/>
      <c r="F579" s="4"/>
      <c r="G579" s="4"/>
    </row>
    <row r="580" spans="1:7" ht="12.75" customHeight="1" x14ac:dyDescent="0.3">
      <c r="A580" s="1"/>
      <c r="B580" s="1"/>
      <c r="C580" s="4"/>
      <c r="D580" s="4"/>
      <c r="E580" s="4"/>
      <c r="F580" s="4"/>
      <c r="G580" s="4"/>
    </row>
    <row r="581" spans="1:7" ht="12.75" customHeight="1" x14ac:dyDescent="0.3">
      <c r="A581" s="1"/>
      <c r="B581" s="1"/>
      <c r="C581" s="4"/>
      <c r="D581" s="4"/>
      <c r="E581" s="4"/>
      <c r="F581" s="4"/>
      <c r="G581" s="4"/>
    </row>
    <row r="582" spans="1:7" ht="12.75" customHeight="1" x14ac:dyDescent="0.3">
      <c r="A582" s="1"/>
      <c r="B582" s="1"/>
      <c r="C582" s="4"/>
      <c r="D582" s="4"/>
      <c r="E582" s="4"/>
      <c r="F582" s="4"/>
      <c r="G582" s="4"/>
    </row>
    <row r="583" spans="1:7" ht="12.75" customHeight="1" x14ac:dyDescent="0.3">
      <c r="A583" s="1"/>
      <c r="B583" s="1"/>
      <c r="C583" s="4"/>
      <c r="D583" s="4"/>
      <c r="E583" s="4"/>
      <c r="F583" s="4"/>
      <c r="G583" s="4"/>
    </row>
    <row r="584" spans="1:7" ht="12.75" customHeight="1" x14ac:dyDescent="0.3">
      <c r="A584" s="1"/>
      <c r="B584" s="1"/>
      <c r="C584" s="4"/>
      <c r="D584" s="4"/>
      <c r="E584" s="4"/>
      <c r="F584" s="4"/>
      <c r="G584" s="4"/>
    </row>
    <row r="585" spans="1:7" ht="12.75" customHeight="1" x14ac:dyDescent="0.3">
      <c r="A585" s="1"/>
      <c r="B585" s="1"/>
      <c r="C585" s="4"/>
      <c r="D585" s="4"/>
      <c r="E585" s="4"/>
      <c r="F585" s="4"/>
      <c r="G585" s="4"/>
    </row>
    <row r="586" spans="1:7" ht="12.75" customHeight="1" x14ac:dyDescent="0.3">
      <c r="A586" s="1"/>
      <c r="B586" s="1"/>
      <c r="C586" s="4"/>
      <c r="D586" s="4"/>
      <c r="E586" s="4"/>
      <c r="F586" s="4"/>
      <c r="G586" s="4"/>
    </row>
    <row r="587" spans="1:7" ht="12.75" customHeight="1" x14ac:dyDescent="0.3">
      <c r="A587" s="1"/>
      <c r="B587" s="1"/>
      <c r="C587" s="4"/>
      <c r="D587" s="4"/>
      <c r="E587" s="4"/>
      <c r="F587" s="4"/>
      <c r="G587" s="4"/>
    </row>
    <row r="588" spans="1:7" ht="12.75" customHeight="1" x14ac:dyDescent="0.3">
      <c r="A588" s="1"/>
      <c r="B588" s="1"/>
      <c r="C588" s="4"/>
      <c r="D588" s="4"/>
      <c r="E588" s="4"/>
      <c r="F588" s="4"/>
      <c r="G588" s="4"/>
    </row>
    <row r="589" spans="1:7" ht="12.75" customHeight="1" x14ac:dyDescent="0.3">
      <c r="A589" s="1"/>
      <c r="B589" s="1"/>
      <c r="C589" s="4"/>
      <c r="D589" s="4"/>
      <c r="E589" s="4"/>
      <c r="F589" s="4"/>
      <c r="G589" s="4"/>
    </row>
    <row r="590" spans="1:7" ht="12.75" customHeight="1" x14ac:dyDescent="0.3">
      <c r="A590" s="1"/>
      <c r="B590" s="1"/>
      <c r="C590" s="4"/>
      <c r="D590" s="4"/>
      <c r="E590" s="4"/>
      <c r="F590" s="4"/>
      <c r="G590" s="4"/>
    </row>
    <row r="591" spans="1:7" ht="12.75" customHeight="1" x14ac:dyDescent="0.3">
      <c r="A591" s="1"/>
      <c r="B591" s="1"/>
      <c r="C591" s="4"/>
      <c r="D591" s="4"/>
      <c r="E591" s="4"/>
      <c r="F591" s="4"/>
      <c r="G591" s="4"/>
    </row>
    <row r="592" spans="1:7" ht="12.75" customHeight="1" x14ac:dyDescent="0.3">
      <c r="A592" s="1"/>
      <c r="B592" s="1"/>
      <c r="C592" s="4"/>
      <c r="D592" s="4"/>
      <c r="E592" s="4"/>
      <c r="F592" s="4"/>
      <c r="G592" s="4"/>
    </row>
    <row r="593" spans="1:7" ht="12.75" customHeight="1" x14ac:dyDescent="0.3">
      <c r="A593" s="1"/>
      <c r="B593" s="1"/>
      <c r="C593" s="4"/>
      <c r="D593" s="4"/>
      <c r="E593" s="4"/>
      <c r="F593" s="4"/>
      <c r="G593" s="4"/>
    </row>
    <row r="594" spans="1:7" ht="12.75" customHeight="1" x14ac:dyDescent="0.3">
      <c r="A594" s="1"/>
      <c r="B594" s="1"/>
      <c r="C594" s="4"/>
      <c r="D594" s="4"/>
      <c r="E594" s="4"/>
      <c r="F594" s="4"/>
      <c r="G594" s="4"/>
    </row>
    <row r="595" spans="1:7" ht="12.75" customHeight="1" x14ac:dyDescent="0.3">
      <c r="A595" s="1"/>
      <c r="B595" s="1"/>
      <c r="C595" s="4"/>
      <c r="D595" s="4"/>
      <c r="E595" s="4"/>
      <c r="F595" s="4"/>
      <c r="G595" s="4"/>
    </row>
    <row r="596" spans="1:7" ht="12.75" customHeight="1" x14ac:dyDescent="0.3">
      <c r="A596" s="1"/>
      <c r="B596" s="1"/>
      <c r="C596" s="4"/>
      <c r="D596" s="4"/>
      <c r="E596" s="4"/>
      <c r="F596" s="4"/>
      <c r="G596" s="4"/>
    </row>
    <row r="597" spans="1:7" ht="12.75" customHeight="1" x14ac:dyDescent="0.3">
      <c r="A597" s="1"/>
      <c r="B597" s="1"/>
      <c r="C597" s="4"/>
      <c r="D597" s="4"/>
      <c r="E597" s="4"/>
      <c r="F597" s="4"/>
      <c r="G597" s="4"/>
    </row>
    <row r="598" spans="1:7" ht="12.75" customHeight="1" x14ac:dyDescent="0.3">
      <c r="A598" s="1"/>
      <c r="B598" s="1"/>
      <c r="C598" s="4"/>
      <c r="D598" s="4"/>
      <c r="E598" s="4"/>
      <c r="F598" s="4"/>
      <c r="G598" s="4"/>
    </row>
    <row r="599" spans="1:7" ht="12.75" customHeight="1" x14ac:dyDescent="0.3">
      <c r="A599" s="1"/>
      <c r="B599" s="1"/>
      <c r="C599" s="4"/>
      <c r="D599" s="4"/>
      <c r="E599" s="4"/>
      <c r="F599" s="4"/>
      <c r="G599" s="4"/>
    </row>
    <row r="600" spans="1:7" ht="12.75" customHeight="1" x14ac:dyDescent="0.3">
      <c r="A600" s="1"/>
      <c r="B600" s="1"/>
      <c r="C600" s="4"/>
      <c r="D600" s="4"/>
      <c r="E600" s="4"/>
      <c r="F600" s="4"/>
      <c r="G600" s="4"/>
    </row>
    <row r="601" spans="1:7" ht="12.75" customHeight="1" x14ac:dyDescent="0.3">
      <c r="A601" s="1"/>
      <c r="B601" s="1"/>
      <c r="C601" s="4"/>
      <c r="D601" s="4"/>
      <c r="E601" s="4"/>
      <c r="F601" s="4"/>
      <c r="G601" s="4"/>
    </row>
    <row r="602" spans="1:7" ht="12.75" customHeight="1" x14ac:dyDescent="0.3">
      <c r="A602" s="1"/>
      <c r="B602" s="1"/>
      <c r="C602" s="4"/>
      <c r="D602" s="4"/>
      <c r="E602" s="4"/>
      <c r="F602" s="4"/>
      <c r="G602" s="4"/>
    </row>
    <row r="603" spans="1:7" ht="12.75" customHeight="1" x14ac:dyDescent="0.3">
      <c r="A603" s="1"/>
      <c r="B603" s="1"/>
      <c r="C603" s="4"/>
      <c r="D603" s="4"/>
      <c r="E603" s="4"/>
      <c r="F603" s="4"/>
      <c r="G603" s="4"/>
    </row>
    <row r="604" spans="1:7" ht="12.75" customHeight="1" x14ac:dyDescent="0.3">
      <c r="A604" s="1"/>
      <c r="B604" s="1"/>
      <c r="C604" s="4"/>
      <c r="D604" s="4"/>
      <c r="E604" s="4"/>
      <c r="F604" s="4"/>
      <c r="G604" s="4"/>
    </row>
    <row r="605" spans="1:7" ht="12.75" customHeight="1" x14ac:dyDescent="0.3">
      <c r="A605" s="1"/>
      <c r="B605" s="1"/>
      <c r="C605" s="4"/>
      <c r="D605" s="4"/>
      <c r="E605" s="4"/>
      <c r="F605" s="4"/>
      <c r="G605" s="4"/>
    </row>
    <row r="606" spans="1:7" ht="12.75" customHeight="1" x14ac:dyDescent="0.3">
      <c r="A606" s="1"/>
      <c r="B606" s="1"/>
      <c r="C606" s="4"/>
      <c r="D606" s="4"/>
      <c r="E606" s="4"/>
      <c r="F606" s="4"/>
      <c r="G606" s="4"/>
    </row>
    <row r="607" spans="1:7" ht="12.75" customHeight="1" x14ac:dyDescent="0.3">
      <c r="A607" s="1"/>
      <c r="B607" s="1"/>
      <c r="C607" s="4"/>
      <c r="D607" s="4"/>
      <c r="E607" s="4"/>
      <c r="F607" s="4"/>
      <c r="G607" s="4"/>
    </row>
    <row r="608" spans="1:7" ht="12.75" customHeight="1" x14ac:dyDescent="0.3">
      <c r="A608" s="1"/>
      <c r="B608" s="1"/>
      <c r="C608" s="4"/>
      <c r="D608" s="4"/>
      <c r="E608" s="4"/>
      <c r="F608" s="4"/>
      <c r="G608" s="4"/>
    </row>
    <row r="609" spans="1:7" ht="12.75" customHeight="1" x14ac:dyDescent="0.3">
      <c r="A609" s="1"/>
      <c r="B609" s="1"/>
      <c r="C609" s="4"/>
      <c r="D609" s="4"/>
      <c r="E609" s="4"/>
      <c r="F609" s="4"/>
      <c r="G609" s="4"/>
    </row>
    <row r="610" spans="1:7" ht="12.75" customHeight="1" x14ac:dyDescent="0.3">
      <c r="A610" s="1"/>
      <c r="B610" s="1"/>
      <c r="C610" s="4"/>
      <c r="D610" s="4"/>
      <c r="E610" s="4"/>
      <c r="F610" s="4"/>
      <c r="G610" s="4"/>
    </row>
    <row r="611" spans="1:7" ht="12.75" customHeight="1" x14ac:dyDescent="0.3">
      <c r="A611" s="1"/>
      <c r="B611" s="1"/>
      <c r="C611" s="4"/>
      <c r="D611" s="4"/>
      <c r="E611" s="4"/>
      <c r="F611" s="4"/>
      <c r="G611" s="4"/>
    </row>
    <row r="612" spans="1:7" ht="12.75" customHeight="1" x14ac:dyDescent="0.3">
      <c r="A612" s="1"/>
      <c r="B612" s="1"/>
      <c r="C612" s="4"/>
      <c r="D612" s="4"/>
      <c r="E612" s="4"/>
      <c r="F612" s="4"/>
      <c r="G612" s="4"/>
    </row>
    <row r="613" spans="1:7" ht="12.75" customHeight="1" x14ac:dyDescent="0.3">
      <c r="A613" s="1"/>
      <c r="B613" s="1"/>
      <c r="C613" s="4"/>
      <c r="D613" s="4"/>
      <c r="E613" s="4"/>
      <c r="F613" s="4"/>
      <c r="G613" s="4"/>
    </row>
    <row r="614" spans="1:7" ht="12.75" customHeight="1" x14ac:dyDescent="0.3">
      <c r="A614" s="1"/>
      <c r="B614" s="1"/>
      <c r="C614" s="4"/>
      <c r="D614" s="4"/>
      <c r="E614" s="4"/>
      <c r="F614" s="4"/>
      <c r="G614" s="4"/>
    </row>
    <row r="615" spans="1:7" ht="12.75" customHeight="1" x14ac:dyDescent="0.3">
      <c r="A615" s="1"/>
      <c r="B615" s="1"/>
      <c r="C615" s="4"/>
      <c r="D615" s="4"/>
      <c r="E615" s="4"/>
      <c r="F615" s="4"/>
      <c r="G615" s="4"/>
    </row>
    <row r="616" spans="1:7" ht="12.75" customHeight="1" x14ac:dyDescent="0.3">
      <c r="A616" s="1"/>
      <c r="B616" s="1"/>
      <c r="C616" s="4"/>
      <c r="D616" s="4"/>
      <c r="E616" s="4"/>
      <c r="F616" s="4"/>
      <c r="G616" s="4"/>
    </row>
    <row r="617" spans="1:7" ht="12.75" customHeight="1" x14ac:dyDescent="0.3">
      <c r="A617" s="1"/>
      <c r="B617" s="1"/>
      <c r="C617" s="4"/>
      <c r="D617" s="4"/>
      <c r="E617" s="4"/>
      <c r="F617" s="4"/>
      <c r="G617" s="4"/>
    </row>
    <row r="618" spans="1:7" ht="12.75" customHeight="1" x14ac:dyDescent="0.3">
      <c r="A618" s="1"/>
      <c r="B618" s="1"/>
      <c r="C618" s="4"/>
      <c r="D618" s="4"/>
      <c r="E618" s="4"/>
      <c r="F618" s="4"/>
      <c r="G618" s="4"/>
    </row>
    <row r="619" spans="1:7" ht="12.75" customHeight="1" x14ac:dyDescent="0.3">
      <c r="A619" s="1"/>
      <c r="B619" s="1"/>
      <c r="C619" s="4"/>
      <c r="D619" s="4"/>
      <c r="E619" s="4"/>
      <c r="F619" s="4"/>
      <c r="G619" s="4"/>
    </row>
    <row r="620" spans="1:7" ht="12.75" customHeight="1" x14ac:dyDescent="0.3">
      <c r="A620" s="1"/>
      <c r="B620" s="1"/>
      <c r="C620" s="4"/>
      <c r="D620" s="4"/>
      <c r="E620" s="4"/>
      <c r="F620" s="4"/>
      <c r="G620" s="4"/>
    </row>
    <row r="621" spans="1:7" ht="12.75" customHeight="1" x14ac:dyDescent="0.3">
      <c r="A621" s="1"/>
      <c r="B621" s="1"/>
      <c r="C621" s="4"/>
      <c r="D621" s="4"/>
      <c r="E621" s="4"/>
      <c r="F621" s="4"/>
      <c r="G621" s="4"/>
    </row>
    <row r="622" spans="1:7" ht="12.75" customHeight="1" x14ac:dyDescent="0.3">
      <c r="A622" s="1"/>
      <c r="B622" s="1"/>
      <c r="C622" s="4"/>
      <c r="D622" s="4"/>
      <c r="E622" s="4"/>
      <c r="F622" s="4"/>
      <c r="G622" s="4"/>
    </row>
    <row r="623" spans="1:7" ht="12.75" customHeight="1" x14ac:dyDescent="0.3">
      <c r="A623" s="1"/>
      <c r="B623" s="1"/>
      <c r="C623" s="4"/>
      <c r="D623" s="4"/>
      <c r="E623" s="4"/>
      <c r="F623" s="4"/>
      <c r="G623" s="4"/>
    </row>
    <row r="624" spans="1:7" ht="12.75" customHeight="1" x14ac:dyDescent="0.3">
      <c r="A624" s="1"/>
      <c r="B624" s="1"/>
      <c r="C624" s="4"/>
      <c r="D624" s="4"/>
      <c r="E624" s="4"/>
      <c r="F624" s="4"/>
      <c r="G624" s="4"/>
    </row>
    <row r="625" spans="1:7" ht="12.75" customHeight="1" x14ac:dyDescent="0.3">
      <c r="A625" s="1"/>
      <c r="B625" s="1"/>
      <c r="C625" s="4"/>
      <c r="D625" s="4"/>
      <c r="E625" s="4"/>
      <c r="F625" s="4"/>
      <c r="G625" s="4"/>
    </row>
    <row r="626" spans="1:7" ht="12.75" customHeight="1" x14ac:dyDescent="0.3">
      <c r="A626" s="1"/>
      <c r="B626" s="1"/>
      <c r="C626" s="4"/>
      <c r="D626" s="4"/>
      <c r="E626" s="4"/>
      <c r="F626" s="4"/>
      <c r="G626" s="4"/>
    </row>
    <row r="627" spans="1:7" ht="12.75" customHeight="1" x14ac:dyDescent="0.3">
      <c r="A627" s="1"/>
      <c r="B627" s="1"/>
      <c r="C627" s="4"/>
      <c r="D627" s="4"/>
      <c r="E627" s="4"/>
      <c r="F627" s="4"/>
      <c r="G627" s="4"/>
    </row>
    <row r="628" spans="1:7" ht="12.75" customHeight="1" x14ac:dyDescent="0.3">
      <c r="A628" s="1"/>
      <c r="B628" s="1"/>
      <c r="C628" s="4"/>
      <c r="D628" s="4"/>
      <c r="E628" s="4"/>
      <c r="F628" s="4"/>
      <c r="G628" s="4"/>
    </row>
    <row r="629" spans="1:7" ht="12.75" customHeight="1" x14ac:dyDescent="0.3">
      <c r="A629" s="1"/>
      <c r="B629" s="1"/>
      <c r="C629" s="4"/>
      <c r="D629" s="4"/>
      <c r="E629" s="4"/>
      <c r="F629" s="4"/>
      <c r="G629" s="4"/>
    </row>
    <row r="630" spans="1:7" ht="12.75" customHeight="1" x14ac:dyDescent="0.3">
      <c r="A630" s="1"/>
      <c r="B630" s="1"/>
      <c r="C630" s="4"/>
      <c r="D630" s="4"/>
      <c r="E630" s="4"/>
      <c r="F630" s="4"/>
      <c r="G630" s="4"/>
    </row>
    <row r="631" spans="1:7" ht="12.75" customHeight="1" x14ac:dyDescent="0.3">
      <c r="A631" s="1"/>
      <c r="B631" s="1"/>
      <c r="C631" s="4"/>
      <c r="D631" s="4"/>
      <c r="E631" s="4"/>
      <c r="F631" s="4"/>
      <c r="G631" s="4"/>
    </row>
    <row r="632" spans="1:7" ht="12.75" customHeight="1" x14ac:dyDescent="0.3">
      <c r="A632" s="1"/>
      <c r="B632" s="1"/>
      <c r="C632" s="4"/>
      <c r="D632" s="4"/>
      <c r="E632" s="4"/>
      <c r="F632" s="4"/>
      <c r="G632" s="4"/>
    </row>
    <row r="633" spans="1:7" ht="12.75" customHeight="1" x14ac:dyDescent="0.3">
      <c r="A633" s="1"/>
      <c r="B633" s="1"/>
      <c r="C633" s="4"/>
      <c r="D633" s="4"/>
      <c r="E633" s="4"/>
      <c r="F633" s="4"/>
      <c r="G633" s="4"/>
    </row>
    <row r="634" spans="1:7" ht="12.75" customHeight="1" x14ac:dyDescent="0.3">
      <c r="A634" s="1"/>
      <c r="B634" s="1"/>
      <c r="C634" s="4"/>
      <c r="D634" s="4"/>
      <c r="E634" s="4"/>
      <c r="F634" s="4"/>
      <c r="G634" s="4"/>
    </row>
    <row r="635" spans="1:7" ht="12.75" customHeight="1" x14ac:dyDescent="0.3">
      <c r="A635" s="1"/>
      <c r="B635" s="1"/>
      <c r="C635" s="4"/>
      <c r="D635" s="4"/>
      <c r="E635" s="4"/>
      <c r="F635" s="4"/>
      <c r="G635" s="4"/>
    </row>
    <row r="636" spans="1:7" ht="12.75" customHeight="1" x14ac:dyDescent="0.3">
      <c r="A636" s="1"/>
      <c r="B636" s="1"/>
      <c r="C636" s="4"/>
      <c r="D636" s="4"/>
      <c r="E636" s="4"/>
      <c r="F636" s="4"/>
      <c r="G636" s="4"/>
    </row>
    <row r="637" spans="1:7" ht="12.75" customHeight="1" x14ac:dyDescent="0.3">
      <c r="A637" s="1"/>
      <c r="B637" s="1"/>
      <c r="C637" s="4"/>
      <c r="D637" s="4"/>
      <c r="E637" s="4"/>
      <c r="F637" s="4"/>
      <c r="G637" s="4"/>
    </row>
    <row r="638" spans="1:7" ht="12.75" customHeight="1" x14ac:dyDescent="0.3">
      <c r="A638" s="1"/>
      <c r="B638" s="1"/>
      <c r="C638" s="4"/>
      <c r="D638" s="4"/>
      <c r="E638" s="4"/>
      <c r="F638" s="4"/>
      <c r="G638" s="4"/>
    </row>
    <row r="639" spans="1:7" ht="12.75" customHeight="1" x14ac:dyDescent="0.3">
      <c r="A639" s="1"/>
      <c r="B639" s="1"/>
      <c r="C639" s="4"/>
      <c r="D639" s="4"/>
      <c r="E639" s="4"/>
      <c r="F639" s="4"/>
      <c r="G639" s="4"/>
    </row>
    <row r="640" spans="1:7" ht="12.75" customHeight="1" x14ac:dyDescent="0.3">
      <c r="A640" s="1"/>
      <c r="B640" s="1"/>
      <c r="C640" s="4"/>
      <c r="D640" s="4"/>
      <c r="E640" s="4"/>
      <c r="F640" s="4"/>
      <c r="G640" s="4"/>
    </row>
    <row r="641" spans="1:7" ht="12.75" customHeight="1" x14ac:dyDescent="0.3">
      <c r="A641" s="1"/>
      <c r="B641" s="1"/>
      <c r="C641" s="4"/>
      <c r="D641" s="4"/>
      <c r="E641" s="4"/>
      <c r="F641" s="4"/>
      <c r="G641" s="4"/>
    </row>
    <row r="642" spans="1:7" ht="12.75" customHeight="1" x14ac:dyDescent="0.3">
      <c r="A642" s="1"/>
      <c r="B642" s="1"/>
      <c r="C642" s="4"/>
      <c r="D642" s="4"/>
      <c r="E642" s="4"/>
      <c r="F642" s="4"/>
      <c r="G642" s="4"/>
    </row>
    <row r="643" spans="1:7" ht="12.75" customHeight="1" x14ac:dyDescent="0.3">
      <c r="A643" s="1"/>
      <c r="B643" s="1"/>
      <c r="C643" s="4"/>
      <c r="D643" s="4"/>
      <c r="E643" s="4"/>
      <c r="F643" s="4"/>
      <c r="G643" s="4"/>
    </row>
    <row r="644" spans="1:7" ht="12.75" customHeight="1" x14ac:dyDescent="0.3">
      <c r="A644" s="1"/>
      <c r="B644" s="1"/>
      <c r="C644" s="4"/>
      <c r="D644" s="4"/>
      <c r="E644" s="4"/>
      <c r="F644" s="4"/>
      <c r="G644" s="4"/>
    </row>
    <row r="645" spans="1:7" ht="12.75" customHeight="1" x14ac:dyDescent="0.3">
      <c r="A645" s="1"/>
      <c r="B645" s="1"/>
      <c r="C645" s="4"/>
      <c r="D645" s="4"/>
      <c r="E645" s="4"/>
      <c r="F645" s="4"/>
      <c r="G645" s="4"/>
    </row>
    <row r="646" spans="1:7" ht="12.75" customHeight="1" x14ac:dyDescent="0.3">
      <c r="A646" s="1"/>
      <c r="B646" s="1"/>
      <c r="C646" s="4"/>
      <c r="D646" s="4"/>
      <c r="E646" s="4"/>
      <c r="F646" s="4"/>
      <c r="G646" s="4"/>
    </row>
    <row r="647" spans="1:7" ht="12.75" customHeight="1" x14ac:dyDescent="0.3">
      <c r="A647" s="1"/>
      <c r="B647" s="1"/>
      <c r="C647" s="4"/>
      <c r="D647" s="4"/>
      <c r="E647" s="4"/>
      <c r="F647" s="4"/>
      <c r="G647" s="4"/>
    </row>
    <row r="648" spans="1:7" ht="12.75" customHeight="1" x14ac:dyDescent="0.3">
      <c r="A648" s="1"/>
      <c r="B648" s="1"/>
      <c r="C648" s="4"/>
      <c r="D648" s="4"/>
      <c r="E648" s="4"/>
      <c r="F648" s="4"/>
      <c r="G648" s="4"/>
    </row>
    <row r="649" spans="1:7" ht="12.75" customHeight="1" x14ac:dyDescent="0.3">
      <c r="A649" s="1"/>
      <c r="B649" s="1"/>
      <c r="C649" s="4"/>
      <c r="D649" s="4"/>
      <c r="E649" s="4"/>
      <c r="F649" s="4"/>
      <c r="G649" s="4"/>
    </row>
    <row r="650" spans="1:7" ht="12.75" customHeight="1" x14ac:dyDescent="0.3">
      <c r="A650" s="1"/>
      <c r="B650" s="1"/>
      <c r="C650" s="4"/>
      <c r="D650" s="4"/>
      <c r="E650" s="4"/>
      <c r="F650" s="4"/>
      <c r="G650" s="4"/>
    </row>
    <row r="651" spans="1:7" ht="12.75" customHeight="1" x14ac:dyDescent="0.3">
      <c r="A651" s="1"/>
      <c r="B651" s="1"/>
      <c r="C651" s="4"/>
      <c r="D651" s="4"/>
      <c r="E651" s="4"/>
      <c r="F651" s="4"/>
      <c r="G651" s="4"/>
    </row>
    <row r="652" spans="1:7" ht="12.75" customHeight="1" x14ac:dyDescent="0.3">
      <c r="A652" s="1"/>
      <c r="B652" s="1"/>
      <c r="C652" s="4"/>
      <c r="D652" s="4"/>
      <c r="E652" s="4"/>
      <c r="F652" s="4"/>
      <c r="G652" s="4"/>
    </row>
    <row r="653" spans="1:7" ht="12.75" customHeight="1" x14ac:dyDescent="0.3">
      <c r="A653" s="1"/>
      <c r="B653" s="1"/>
      <c r="C653" s="4"/>
      <c r="D653" s="4"/>
      <c r="E653" s="4"/>
      <c r="F653" s="4"/>
      <c r="G653" s="4"/>
    </row>
    <row r="654" spans="1:7" ht="12.75" customHeight="1" x14ac:dyDescent="0.3">
      <c r="A654" s="1"/>
      <c r="B654" s="1"/>
      <c r="C654" s="4"/>
      <c r="D654" s="4"/>
      <c r="E654" s="4"/>
      <c r="F654" s="4"/>
      <c r="G654" s="4"/>
    </row>
    <row r="655" spans="1:7" ht="12.75" customHeight="1" x14ac:dyDescent="0.3">
      <c r="A655" s="1"/>
      <c r="B655" s="1"/>
      <c r="C655" s="4"/>
      <c r="D655" s="4"/>
      <c r="E655" s="4"/>
      <c r="F655" s="4"/>
      <c r="G655" s="4"/>
    </row>
    <row r="656" spans="1:7" ht="12.75" customHeight="1" x14ac:dyDescent="0.3">
      <c r="A656" s="1"/>
      <c r="B656" s="1"/>
      <c r="C656" s="4"/>
      <c r="D656" s="4"/>
      <c r="E656" s="4"/>
      <c r="F656" s="4"/>
      <c r="G656" s="4"/>
    </row>
    <row r="657" spans="1:7" ht="12.75" customHeight="1" x14ac:dyDescent="0.3">
      <c r="A657" s="1"/>
      <c r="B657" s="1"/>
      <c r="C657" s="4"/>
      <c r="D657" s="4"/>
      <c r="E657" s="4"/>
      <c r="F657" s="4"/>
      <c r="G657" s="4"/>
    </row>
    <row r="658" spans="1:7" ht="12.75" customHeight="1" x14ac:dyDescent="0.3">
      <c r="A658" s="1"/>
      <c r="B658" s="1"/>
      <c r="C658" s="4"/>
      <c r="D658" s="4"/>
      <c r="E658" s="4"/>
      <c r="F658" s="4"/>
      <c r="G658" s="4"/>
    </row>
    <row r="659" spans="1:7" ht="12.75" customHeight="1" x14ac:dyDescent="0.3">
      <c r="A659" s="1"/>
      <c r="B659" s="1"/>
      <c r="C659" s="4"/>
      <c r="D659" s="4"/>
      <c r="E659" s="4"/>
      <c r="F659" s="4"/>
      <c r="G659" s="4"/>
    </row>
    <row r="660" spans="1:7" ht="12.75" customHeight="1" x14ac:dyDescent="0.3">
      <c r="A660" s="1"/>
      <c r="B660" s="1"/>
      <c r="C660" s="4"/>
      <c r="D660" s="4"/>
      <c r="E660" s="4"/>
      <c r="F660" s="4"/>
      <c r="G660" s="4"/>
    </row>
    <row r="661" spans="1:7" ht="12.75" customHeight="1" x14ac:dyDescent="0.3">
      <c r="A661" s="1"/>
      <c r="B661" s="1"/>
      <c r="C661" s="4"/>
      <c r="D661" s="4"/>
      <c r="E661" s="4"/>
      <c r="F661" s="4"/>
      <c r="G661" s="4"/>
    </row>
    <row r="662" spans="1:7" ht="12.75" customHeight="1" x14ac:dyDescent="0.3">
      <c r="A662" s="1"/>
      <c r="B662" s="1"/>
      <c r="C662" s="4"/>
      <c r="D662" s="4"/>
      <c r="E662" s="4"/>
      <c r="F662" s="4"/>
      <c r="G662" s="4"/>
    </row>
    <row r="663" spans="1:7" ht="12.75" customHeight="1" x14ac:dyDescent="0.3">
      <c r="A663" s="1"/>
      <c r="B663" s="1"/>
      <c r="C663" s="4"/>
      <c r="D663" s="4"/>
      <c r="E663" s="4"/>
      <c r="F663" s="4"/>
      <c r="G663" s="4"/>
    </row>
    <row r="664" spans="1:7" ht="12.75" customHeight="1" x14ac:dyDescent="0.3">
      <c r="A664" s="1"/>
      <c r="B664" s="1"/>
      <c r="C664" s="4"/>
      <c r="D664" s="4"/>
      <c r="E664" s="4"/>
      <c r="F664" s="4"/>
      <c r="G664" s="4"/>
    </row>
    <row r="665" spans="1:7" ht="12.75" customHeight="1" x14ac:dyDescent="0.3">
      <c r="A665" s="1"/>
      <c r="B665" s="1"/>
      <c r="C665" s="4"/>
      <c r="D665" s="4"/>
      <c r="E665" s="4"/>
      <c r="F665" s="4"/>
      <c r="G665" s="4"/>
    </row>
    <row r="666" spans="1:7" ht="12.75" customHeight="1" x14ac:dyDescent="0.3">
      <c r="A666" s="1"/>
      <c r="B666" s="1"/>
      <c r="C666" s="4"/>
      <c r="D666" s="4"/>
      <c r="E666" s="4"/>
      <c r="F666" s="4"/>
      <c r="G666" s="4"/>
    </row>
    <row r="667" spans="1:7" ht="12.75" customHeight="1" x14ac:dyDescent="0.3">
      <c r="A667" s="1"/>
      <c r="B667" s="1"/>
      <c r="C667" s="4"/>
      <c r="D667" s="4"/>
      <c r="E667" s="4"/>
      <c r="F667" s="4"/>
      <c r="G667" s="4"/>
    </row>
    <row r="668" spans="1:7" ht="12.75" customHeight="1" x14ac:dyDescent="0.3">
      <c r="A668" s="1"/>
      <c r="B668" s="1"/>
      <c r="C668" s="4"/>
      <c r="D668" s="4"/>
      <c r="E668" s="4"/>
      <c r="F668" s="4"/>
      <c r="G668" s="4"/>
    </row>
    <row r="669" spans="1:7" ht="12.75" customHeight="1" x14ac:dyDescent="0.3">
      <c r="A669" s="1"/>
      <c r="B669" s="1"/>
      <c r="C669" s="4"/>
      <c r="D669" s="4"/>
      <c r="E669" s="4"/>
      <c r="F669" s="4"/>
      <c r="G669" s="4"/>
    </row>
    <row r="670" spans="1:7" ht="12.75" customHeight="1" x14ac:dyDescent="0.3">
      <c r="A670" s="1"/>
      <c r="B670" s="1"/>
      <c r="C670" s="4"/>
      <c r="D670" s="4"/>
      <c r="E670" s="4"/>
      <c r="F670" s="4"/>
      <c r="G670" s="4"/>
    </row>
    <row r="671" spans="1:7" ht="12.75" customHeight="1" x14ac:dyDescent="0.3">
      <c r="A671" s="1"/>
      <c r="B671" s="1"/>
      <c r="C671" s="4"/>
      <c r="D671" s="4"/>
      <c r="E671" s="4"/>
      <c r="F671" s="4"/>
      <c r="G671" s="4"/>
    </row>
    <row r="672" spans="1:7" ht="12.75" customHeight="1" x14ac:dyDescent="0.3">
      <c r="A672" s="1"/>
      <c r="B672" s="1"/>
      <c r="C672" s="4"/>
      <c r="D672" s="4"/>
      <c r="E672" s="4"/>
      <c r="F672" s="4"/>
      <c r="G672" s="4"/>
    </row>
    <row r="673" spans="1:7" ht="12.75" customHeight="1" x14ac:dyDescent="0.3">
      <c r="A673" s="1"/>
      <c r="B673" s="1"/>
      <c r="C673" s="4"/>
      <c r="D673" s="4"/>
      <c r="E673" s="4"/>
      <c r="F673" s="4"/>
      <c r="G673" s="4"/>
    </row>
    <row r="674" spans="1:7" ht="12.75" customHeight="1" x14ac:dyDescent="0.3">
      <c r="A674" s="1"/>
      <c r="B674" s="1"/>
      <c r="C674" s="4"/>
      <c r="D674" s="4"/>
      <c r="E674" s="4"/>
      <c r="F674" s="4"/>
      <c r="G674" s="4"/>
    </row>
    <row r="675" spans="1:7" ht="12.75" customHeight="1" x14ac:dyDescent="0.3">
      <c r="A675" s="1"/>
      <c r="B675" s="1"/>
      <c r="C675" s="4"/>
      <c r="D675" s="4"/>
      <c r="E675" s="4"/>
      <c r="F675" s="4"/>
      <c r="G675" s="4"/>
    </row>
    <row r="676" spans="1:7" ht="12.75" customHeight="1" x14ac:dyDescent="0.3">
      <c r="A676" s="1"/>
      <c r="B676" s="1"/>
      <c r="C676" s="4"/>
      <c r="D676" s="4"/>
      <c r="E676" s="4"/>
      <c r="F676" s="4"/>
      <c r="G676" s="4"/>
    </row>
    <row r="677" spans="1:7" ht="12.75" customHeight="1" x14ac:dyDescent="0.3">
      <c r="A677" s="1"/>
      <c r="B677" s="1"/>
      <c r="C677" s="4"/>
      <c r="D677" s="4"/>
      <c r="E677" s="4"/>
      <c r="F677" s="4"/>
      <c r="G677" s="4"/>
    </row>
    <row r="678" spans="1:7" ht="12.75" customHeight="1" x14ac:dyDescent="0.3">
      <c r="A678" s="1"/>
      <c r="B678" s="1"/>
      <c r="C678" s="4"/>
      <c r="D678" s="4"/>
      <c r="E678" s="4"/>
      <c r="F678" s="4"/>
      <c r="G678" s="4"/>
    </row>
    <row r="679" spans="1:7" ht="12.75" customHeight="1" x14ac:dyDescent="0.3">
      <c r="A679" s="1"/>
      <c r="B679" s="1"/>
      <c r="C679" s="4"/>
      <c r="D679" s="4"/>
      <c r="E679" s="4"/>
      <c r="F679" s="4"/>
      <c r="G679" s="4"/>
    </row>
    <row r="680" spans="1:7" ht="12.75" customHeight="1" x14ac:dyDescent="0.3">
      <c r="A680" s="1"/>
      <c r="B680" s="1"/>
      <c r="C680" s="4"/>
      <c r="D680" s="4"/>
      <c r="E680" s="4"/>
      <c r="F680" s="4"/>
      <c r="G680" s="4"/>
    </row>
    <row r="681" spans="1:7" ht="12.75" customHeight="1" x14ac:dyDescent="0.3">
      <c r="A681" s="1"/>
      <c r="B681" s="1"/>
      <c r="C681" s="4"/>
      <c r="D681" s="4"/>
      <c r="E681" s="4"/>
      <c r="F681" s="4"/>
      <c r="G681" s="4"/>
    </row>
    <row r="682" spans="1:7" ht="12.75" customHeight="1" x14ac:dyDescent="0.3">
      <c r="A682" s="1"/>
      <c r="B682" s="1"/>
      <c r="C682" s="4"/>
      <c r="D682" s="4"/>
      <c r="E682" s="4"/>
      <c r="F682" s="4"/>
      <c r="G682" s="4"/>
    </row>
    <row r="683" spans="1:7" ht="12.75" customHeight="1" x14ac:dyDescent="0.3">
      <c r="A683" s="1"/>
      <c r="B683" s="1"/>
      <c r="C683" s="4"/>
      <c r="D683" s="4"/>
      <c r="E683" s="4"/>
      <c r="F683" s="4"/>
      <c r="G683" s="4"/>
    </row>
    <row r="684" spans="1:7" ht="12.75" customHeight="1" x14ac:dyDescent="0.3">
      <c r="A684" s="1"/>
      <c r="B684" s="1"/>
      <c r="C684" s="4"/>
      <c r="D684" s="4"/>
      <c r="E684" s="4"/>
      <c r="F684" s="4"/>
      <c r="G684" s="4"/>
    </row>
    <row r="685" spans="1:7" ht="12.75" customHeight="1" x14ac:dyDescent="0.3">
      <c r="A685" s="1"/>
      <c r="B685" s="1"/>
      <c r="C685" s="4"/>
      <c r="D685" s="4"/>
      <c r="E685" s="4"/>
      <c r="F685" s="4"/>
      <c r="G685" s="4"/>
    </row>
    <row r="686" spans="1:7" ht="12.75" customHeight="1" x14ac:dyDescent="0.3">
      <c r="A686" s="1"/>
      <c r="B686" s="1"/>
      <c r="C686" s="4"/>
      <c r="D686" s="4"/>
      <c r="E686" s="4"/>
      <c r="F686" s="4"/>
      <c r="G686" s="4"/>
    </row>
    <row r="687" spans="1:7" ht="12.75" customHeight="1" x14ac:dyDescent="0.3">
      <c r="A687" s="1"/>
      <c r="B687" s="1"/>
      <c r="C687" s="4"/>
      <c r="D687" s="4"/>
      <c r="E687" s="4"/>
      <c r="F687" s="4"/>
      <c r="G687" s="4"/>
    </row>
    <row r="688" spans="1:7" ht="12.75" customHeight="1" x14ac:dyDescent="0.3">
      <c r="A688" s="1"/>
      <c r="B688" s="1"/>
      <c r="C688" s="4"/>
      <c r="D688" s="4"/>
      <c r="E688" s="4"/>
      <c r="F688" s="4"/>
      <c r="G688" s="4"/>
    </row>
    <row r="689" spans="1:7" ht="12.75" customHeight="1" x14ac:dyDescent="0.3">
      <c r="A689" s="1"/>
      <c r="B689" s="1"/>
      <c r="C689" s="4"/>
      <c r="D689" s="4"/>
      <c r="E689" s="4"/>
      <c r="F689" s="4"/>
      <c r="G689" s="4"/>
    </row>
    <row r="690" spans="1:7" ht="12.75" customHeight="1" x14ac:dyDescent="0.3">
      <c r="A690" s="1"/>
      <c r="B690" s="1"/>
      <c r="C690" s="4"/>
      <c r="D690" s="4"/>
      <c r="E690" s="4"/>
      <c r="F690" s="4"/>
      <c r="G690" s="4"/>
    </row>
    <row r="691" spans="1:7" ht="12.75" customHeight="1" x14ac:dyDescent="0.3">
      <c r="A691" s="1"/>
      <c r="B691" s="1"/>
      <c r="C691" s="4"/>
      <c r="D691" s="4"/>
      <c r="E691" s="4"/>
      <c r="F691" s="4"/>
      <c r="G691" s="4"/>
    </row>
    <row r="692" spans="1:7" ht="12.75" customHeight="1" x14ac:dyDescent="0.3">
      <c r="A692" s="1"/>
      <c r="B692" s="1"/>
      <c r="C692" s="4"/>
      <c r="D692" s="4"/>
      <c r="E692" s="4"/>
      <c r="F692" s="4"/>
      <c r="G692" s="4"/>
    </row>
    <row r="693" spans="1:7" ht="12.75" customHeight="1" x14ac:dyDescent="0.3">
      <c r="A693" s="1"/>
      <c r="B693" s="1"/>
      <c r="C693" s="4"/>
      <c r="D693" s="4"/>
      <c r="E693" s="4"/>
      <c r="F693" s="4"/>
      <c r="G693" s="4"/>
    </row>
    <row r="694" spans="1:7" ht="12.75" customHeight="1" x14ac:dyDescent="0.3">
      <c r="A694" s="1"/>
      <c r="B694" s="1"/>
      <c r="C694" s="4"/>
      <c r="D694" s="4"/>
      <c r="E694" s="4"/>
      <c r="F694" s="4"/>
      <c r="G694" s="4"/>
    </row>
    <row r="695" spans="1:7" ht="12.75" customHeight="1" x14ac:dyDescent="0.3">
      <c r="A695" s="1"/>
      <c r="B695" s="1"/>
      <c r="C695" s="4"/>
      <c r="D695" s="4"/>
      <c r="E695" s="4"/>
      <c r="F695" s="4"/>
      <c r="G695" s="4"/>
    </row>
    <row r="696" spans="1:7" ht="12.75" customHeight="1" x14ac:dyDescent="0.3">
      <c r="A696" s="1"/>
      <c r="B696" s="1"/>
      <c r="C696" s="4"/>
      <c r="D696" s="4"/>
      <c r="E696" s="4"/>
      <c r="F696" s="4"/>
      <c r="G696" s="4"/>
    </row>
    <row r="697" spans="1:7" ht="12.75" customHeight="1" x14ac:dyDescent="0.3">
      <c r="A697" s="1"/>
      <c r="B697" s="1"/>
      <c r="C697" s="4"/>
      <c r="D697" s="4"/>
      <c r="E697" s="4"/>
      <c r="F697" s="4"/>
      <c r="G697" s="4"/>
    </row>
    <row r="698" spans="1:7" ht="12.75" customHeight="1" x14ac:dyDescent="0.3">
      <c r="A698" s="1"/>
      <c r="B698" s="1"/>
      <c r="C698" s="4"/>
      <c r="D698" s="4"/>
      <c r="E698" s="4"/>
      <c r="F698" s="4"/>
      <c r="G698" s="4"/>
    </row>
    <row r="699" spans="1:7" ht="12.75" customHeight="1" x14ac:dyDescent="0.3">
      <c r="A699" s="1"/>
      <c r="B699" s="1"/>
      <c r="C699" s="4"/>
      <c r="D699" s="4"/>
      <c r="E699" s="4"/>
      <c r="F699" s="4"/>
      <c r="G699" s="4"/>
    </row>
    <row r="700" spans="1:7" ht="12.75" customHeight="1" x14ac:dyDescent="0.3">
      <c r="A700" s="1"/>
      <c r="B700" s="1"/>
      <c r="C700" s="4"/>
      <c r="D700" s="4"/>
      <c r="E700" s="4"/>
      <c r="F700" s="4"/>
      <c r="G700" s="4"/>
    </row>
    <row r="701" spans="1:7" ht="12.75" customHeight="1" x14ac:dyDescent="0.3">
      <c r="A701" s="1"/>
      <c r="B701" s="1"/>
      <c r="C701" s="4"/>
      <c r="D701" s="4"/>
      <c r="E701" s="4"/>
      <c r="F701" s="4"/>
      <c r="G701" s="4"/>
    </row>
    <row r="702" spans="1:7" ht="12.75" customHeight="1" x14ac:dyDescent="0.3">
      <c r="A702" s="1"/>
      <c r="B702" s="1"/>
      <c r="C702" s="4"/>
      <c r="D702" s="4"/>
      <c r="E702" s="4"/>
      <c r="F702" s="4"/>
      <c r="G702" s="4"/>
    </row>
    <row r="703" spans="1:7" ht="12.75" customHeight="1" x14ac:dyDescent="0.3">
      <c r="A703" s="1"/>
      <c r="B703" s="1"/>
      <c r="C703" s="4"/>
      <c r="D703" s="4"/>
      <c r="E703" s="4"/>
      <c r="F703" s="4"/>
      <c r="G703" s="4"/>
    </row>
    <row r="704" spans="1:7" ht="12.75" customHeight="1" x14ac:dyDescent="0.3">
      <c r="A704" s="1"/>
      <c r="B704" s="1"/>
      <c r="C704" s="4"/>
      <c r="D704" s="4"/>
      <c r="E704" s="4"/>
      <c r="F704" s="4"/>
      <c r="G704" s="4"/>
    </row>
    <row r="705" spans="1:7" ht="12.75" customHeight="1" x14ac:dyDescent="0.3">
      <c r="A705" s="1"/>
      <c r="B705" s="1"/>
      <c r="C705" s="4"/>
      <c r="D705" s="4"/>
      <c r="E705" s="4"/>
      <c r="F705" s="4"/>
      <c r="G705" s="4"/>
    </row>
    <row r="706" spans="1:7" ht="12.75" customHeight="1" x14ac:dyDescent="0.3">
      <c r="A706" s="1"/>
      <c r="B706" s="1"/>
      <c r="C706" s="4"/>
      <c r="D706" s="4"/>
      <c r="E706" s="4"/>
      <c r="F706" s="4"/>
      <c r="G706" s="4"/>
    </row>
    <row r="707" spans="1:7" ht="12.75" customHeight="1" x14ac:dyDescent="0.3">
      <c r="A707" s="1"/>
      <c r="B707" s="1"/>
      <c r="C707" s="4"/>
      <c r="D707" s="4"/>
      <c r="E707" s="4"/>
      <c r="F707" s="4"/>
      <c r="G707" s="4"/>
    </row>
    <row r="708" spans="1:7" ht="12.75" customHeight="1" x14ac:dyDescent="0.3">
      <c r="A708" s="1"/>
      <c r="B708" s="1"/>
      <c r="C708" s="4"/>
      <c r="D708" s="4"/>
      <c r="E708" s="4"/>
      <c r="F708" s="4"/>
      <c r="G708" s="4"/>
    </row>
    <row r="709" spans="1:7" ht="12.75" customHeight="1" x14ac:dyDescent="0.3">
      <c r="A709" s="1"/>
      <c r="B709" s="1"/>
      <c r="C709" s="4"/>
      <c r="D709" s="4"/>
      <c r="E709" s="4"/>
      <c r="F709" s="4"/>
      <c r="G709" s="4"/>
    </row>
    <row r="710" spans="1:7" ht="12.75" customHeight="1" x14ac:dyDescent="0.3">
      <c r="A710" s="1"/>
      <c r="B710" s="1"/>
      <c r="C710" s="4"/>
      <c r="D710" s="4"/>
      <c r="E710" s="4"/>
      <c r="F710" s="4"/>
      <c r="G710" s="4"/>
    </row>
    <row r="711" spans="1:7" ht="12.75" customHeight="1" x14ac:dyDescent="0.3">
      <c r="A711" s="1"/>
      <c r="B711" s="1"/>
      <c r="C711" s="4"/>
      <c r="D711" s="4"/>
      <c r="E711" s="4"/>
      <c r="F711" s="4"/>
      <c r="G711" s="4"/>
    </row>
    <row r="712" spans="1:7" ht="12.75" customHeight="1" x14ac:dyDescent="0.3">
      <c r="A712" s="1"/>
      <c r="B712" s="1"/>
      <c r="C712" s="4"/>
      <c r="D712" s="4"/>
      <c r="E712" s="4"/>
      <c r="F712" s="4"/>
      <c r="G712" s="4"/>
    </row>
    <row r="713" spans="1:7" ht="12.75" customHeight="1" x14ac:dyDescent="0.3">
      <c r="A713" s="1"/>
      <c r="B713" s="1"/>
      <c r="C713" s="4"/>
      <c r="D713" s="4"/>
      <c r="E713" s="4"/>
      <c r="F713" s="4"/>
      <c r="G713" s="4"/>
    </row>
    <row r="714" spans="1:7" ht="12.75" customHeight="1" x14ac:dyDescent="0.3">
      <c r="A714" s="1"/>
      <c r="B714" s="1"/>
      <c r="C714" s="4"/>
      <c r="D714" s="4"/>
      <c r="E714" s="4"/>
      <c r="F714" s="4"/>
      <c r="G714" s="4"/>
    </row>
    <row r="715" spans="1:7" ht="12.75" customHeight="1" x14ac:dyDescent="0.3">
      <c r="A715" s="1"/>
      <c r="B715" s="1"/>
      <c r="C715" s="4"/>
      <c r="D715" s="4"/>
      <c r="E715" s="4"/>
      <c r="F715" s="4"/>
      <c r="G715" s="4"/>
    </row>
    <row r="716" spans="1:7" ht="12.75" customHeight="1" x14ac:dyDescent="0.3">
      <c r="A716" s="1"/>
      <c r="B716" s="1"/>
      <c r="C716" s="4"/>
      <c r="D716" s="4"/>
      <c r="E716" s="4"/>
      <c r="F716" s="4"/>
      <c r="G716" s="4"/>
    </row>
    <row r="717" spans="1:7" ht="12.75" customHeight="1" x14ac:dyDescent="0.3">
      <c r="A717" s="1"/>
      <c r="B717" s="1"/>
      <c r="C717" s="4"/>
      <c r="D717" s="4"/>
      <c r="E717" s="4"/>
      <c r="F717" s="4"/>
      <c r="G717" s="4"/>
    </row>
    <row r="718" spans="1:7" ht="12.75" customHeight="1" x14ac:dyDescent="0.3">
      <c r="A718" s="1"/>
      <c r="B718" s="1"/>
      <c r="C718" s="4"/>
      <c r="D718" s="4"/>
      <c r="E718" s="4"/>
      <c r="F718" s="4"/>
      <c r="G718" s="4"/>
    </row>
    <row r="719" spans="1:7" ht="12.75" customHeight="1" x14ac:dyDescent="0.3">
      <c r="A719" s="1"/>
      <c r="B719" s="1"/>
      <c r="C719" s="4"/>
      <c r="D719" s="4"/>
      <c r="E719" s="4"/>
      <c r="F719" s="4"/>
      <c r="G719" s="4"/>
    </row>
    <row r="720" spans="1:7" ht="12.75" customHeight="1" x14ac:dyDescent="0.3">
      <c r="A720" s="1"/>
      <c r="B720" s="1"/>
      <c r="C720" s="4"/>
      <c r="D720" s="4"/>
      <c r="E720" s="4"/>
      <c r="F720" s="4"/>
      <c r="G720" s="4"/>
    </row>
    <row r="721" spans="1:7" ht="12.75" customHeight="1" x14ac:dyDescent="0.3">
      <c r="A721" s="1"/>
      <c r="B721" s="1"/>
      <c r="C721" s="4"/>
      <c r="D721" s="4"/>
      <c r="E721" s="4"/>
      <c r="F721" s="4"/>
      <c r="G721" s="4"/>
    </row>
    <row r="722" spans="1:7" ht="12.75" customHeight="1" x14ac:dyDescent="0.3">
      <c r="A722" s="1"/>
      <c r="B722" s="1"/>
      <c r="C722" s="4"/>
      <c r="D722" s="4"/>
      <c r="E722" s="4"/>
      <c r="F722" s="4"/>
      <c r="G722" s="4"/>
    </row>
    <row r="723" spans="1:7" ht="12.75" customHeight="1" x14ac:dyDescent="0.3">
      <c r="A723" s="1"/>
      <c r="B723" s="1"/>
      <c r="C723" s="4"/>
      <c r="D723" s="4"/>
      <c r="E723" s="4"/>
      <c r="F723" s="4"/>
      <c r="G723" s="4"/>
    </row>
    <row r="724" spans="1:7" ht="12.75" customHeight="1" x14ac:dyDescent="0.3">
      <c r="A724" s="1"/>
      <c r="B724" s="1"/>
      <c r="C724" s="4"/>
      <c r="D724" s="4"/>
      <c r="E724" s="4"/>
      <c r="F724" s="4"/>
      <c r="G724" s="4"/>
    </row>
    <row r="725" spans="1:7" ht="12.75" customHeight="1" x14ac:dyDescent="0.3">
      <c r="A725" s="1"/>
      <c r="B725" s="1"/>
      <c r="C725" s="4"/>
      <c r="D725" s="4"/>
      <c r="E725" s="4"/>
      <c r="F725" s="4"/>
      <c r="G725" s="4"/>
    </row>
    <row r="726" spans="1:7" ht="12.75" customHeight="1" x14ac:dyDescent="0.3">
      <c r="A726" s="1"/>
      <c r="B726" s="1"/>
      <c r="C726" s="4"/>
      <c r="D726" s="4"/>
      <c r="E726" s="4"/>
      <c r="F726" s="4"/>
      <c r="G726" s="4"/>
    </row>
    <row r="727" spans="1:7" ht="12.75" customHeight="1" x14ac:dyDescent="0.3">
      <c r="A727" s="1"/>
      <c r="B727" s="1"/>
      <c r="C727" s="4"/>
      <c r="D727" s="4"/>
      <c r="E727" s="4"/>
      <c r="F727" s="4"/>
      <c r="G727" s="4"/>
    </row>
    <row r="728" spans="1:7" ht="12.75" customHeight="1" x14ac:dyDescent="0.3">
      <c r="A728" s="1"/>
      <c r="B728" s="1"/>
      <c r="C728" s="4"/>
      <c r="D728" s="4"/>
      <c r="E728" s="4"/>
      <c r="F728" s="4"/>
      <c r="G728" s="4"/>
    </row>
    <row r="729" spans="1:7" ht="12.75" customHeight="1" x14ac:dyDescent="0.3">
      <c r="A729" s="1"/>
      <c r="B729" s="1"/>
      <c r="C729" s="4"/>
      <c r="D729" s="4"/>
      <c r="E729" s="4"/>
      <c r="F729" s="4"/>
      <c r="G729" s="4"/>
    </row>
    <row r="730" spans="1:7" ht="12.75" customHeight="1" x14ac:dyDescent="0.3">
      <c r="A730" s="1"/>
      <c r="B730" s="1"/>
      <c r="C730" s="4"/>
      <c r="D730" s="4"/>
      <c r="E730" s="4"/>
      <c r="F730" s="4"/>
      <c r="G730" s="4"/>
    </row>
    <row r="731" spans="1:7" ht="12.75" customHeight="1" x14ac:dyDescent="0.3">
      <c r="A731" s="1"/>
      <c r="B731" s="1"/>
      <c r="C731" s="4"/>
      <c r="D731" s="4"/>
      <c r="E731" s="4"/>
      <c r="F731" s="4"/>
      <c r="G731" s="4"/>
    </row>
    <row r="732" spans="1:7" ht="12.75" customHeight="1" x14ac:dyDescent="0.3">
      <c r="A732" s="1"/>
      <c r="B732" s="1"/>
      <c r="C732" s="4"/>
      <c r="D732" s="4"/>
      <c r="E732" s="4"/>
      <c r="F732" s="4"/>
      <c r="G732" s="4"/>
    </row>
    <row r="733" spans="1:7" ht="12.75" customHeight="1" x14ac:dyDescent="0.3">
      <c r="A733" s="1"/>
      <c r="B733" s="1"/>
      <c r="C733" s="4"/>
      <c r="D733" s="4"/>
      <c r="E733" s="4"/>
      <c r="F733" s="4"/>
      <c r="G733" s="4"/>
    </row>
    <row r="734" spans="1:7" ht="12.75" customHeight="1" x14ac:dyDescent="0.3">
      <c r="A734" s="1"/>
      <c r="B734" s="1"/>
      <c r="C734" s="4"/>
      <c r="D734" s="4"/>
      <c r="E734" s="4"/>
      <c r="F734" s="4"/>
      <c r="G734" s="4"/>
    </row>
    <row r="735" spans="1:7" ht="12.75" customHeight="1" x14ac:dyDescent="0.3">
      <c r="A735" s="1"/>
      <c r="B735" s="1"/>
      <c r="C735" s="4"/>
      <c r="D735" s="4"/>
      <c r="E735" s="4"/>
      <c r="F735" s="4"/>
      <c r="G735" s="4"/>
    </row>
    <row r="736" spans="1:7" ht="12.75" customHeight="1" x14ac:dyDescent="0.3">
      <c r="A736" s="1"/>
      <c r="B736" s="1"/>
      <c r="C736" s="4"/>
      <c r="D736" s="4"/>
      <c r="E736" s="4"/>
      <c r="F736" s="4"/>
      <c r="G736" s="4"/>
    </row>
    <row r="737" spans="1:7" ht="12.75" customHeight="1" x14ac:dyDescent="0.3">
      <c r="A737" s="1"/>
      <c r="B737" s="1"/>
      <c r="C737" s="4"/>
      <c r="D737" s="4"/>
      <c r="E737" s="4"/>
      <c r="F737" s="4"/>
      <c r="G737" s="4"/>
    </row>
    <row r="738" spans="1:7" ht="12.75" customHeight="1" x14ac:dyDescent="0.3">
      <c r="A738" s="1"/>
      <c r="B738" s="1"/>
      <c r="C738" s="4"/>
      <c r="D738" s="4"/>
      <c r="E738" s="4"/>
      <c r="F738" s="4"/>
      <c r="G738" s="4"/>
    </row>
    <row r="739" spans="1:7" ht="12.75" customHeight="1" x14ac:dyDescent="0.3">
      <c r="A739" s="1"/>
      <c r="B739" s="1"/>
      <c r="C739" s="4"/>
      <c r="D739" s="4"/>
      <c r="E739" s="4"/>
      <c r="F739" s="4"/>
      <c r="G739" s="4"/>
    </row>
    <row r="740" spans="1:7" ht="12.75" customHeight="1" x14ac:dyDescent="0.3">
      <c r="A740" s="1"/>
      <c r="B740" s="1"/>
      <c r="C740" s="4"/>
      <c r="D740" s="4"/>
      <c r="E740" s="4"/>
      <c r="F740" s="4"/>
      <c r="G740" s="4"/>
    </row>
    <row r="741" spans="1:7" ht="12.75" customHeight="1" x14ac:dyDescent="0.3">
      <c r="A741" s="1"/>
      <c r="B741" s="1"/>
      <c r="C741" s="4"/>
      <c r="D741" s="4"/>
      <c r="E741" s="4"/>
      <c r="F741" s="4"/>
      <c r="G741" s="4"/>
    </row>
    <row r="742" spans="1:7" ht="12.75" customHeight="1" x14ac:dyDescent="0.3">
      <c r="A742" s="1"/>
      <c r="B742" s="1"/>
      <c r="C742" s="4"/>
      <c r="D742" s="4"/>
      <c r="E742" s="4"/>
      <c r="F742" s="4"/>
      <c r="G742" s="4"/>
    </row>
    <row r="743" spans="1:7" ht="12.75" customHeight="1" x14ac:dyDescent="0.3">
      <c r="A743" s="1"/>
      <c r="B743" s="1"/>
      <c r="C743" s="4"/>
      <c r="D743" s="4"/>
      <c r="E743" s="4"/>
      <c r="F743" s="4"/>
      <c r="G743" s="4"/>
    </row>
    <row r="744" spans="1:7" ht="12.75" customHeight="1" x14ac:dyDescent="0.3">
      <c r="A744" s="1"/>
      <c r="B744" s="1"/>
      <c r="C744" s="4"/>
      <c r="D744" s="4"/>
      <c r="E744" s="4"/>
      <c r="F744" s="4"/>
      <c r="G744" s="4"/>
    </row>
    <row r="745" spans="1:7" ht="12.75" customHeight="1" x14ac:dyDescent="0.3">
      <c r="A745" s="1"/>
      <c r="B745" s="1"/>
      <c r="C745" s="4"/>
      <c r="D745" s="4"/>
      <c r="E745" s="4"/>
      <c r="F745" s="4"/>
      <c r="G745" s="4"/>
    </row>
    <row r="746" spans="1:7" ht="12.75" customHeight="1" x14ac:dyDescent="0.3">
      <c r="A746" s="1"/>
      <c r="B746" s="1"/>
      <c r="C746" s="4"/>
      <c r="D746" s="4"/>
      <c r="E746" s="4"/>
      <c r="F746" s="4"/>
      <c r="G746" s="4"/>
    </row>
    <row r="747" spans="1:7" ht="12.75" customHeight="1" x14ac:dyDescent="0.3">
      <c r="A747" s="1"/>
      <c r="B747" s="1"/>
      <c r="C747" s="4"/>
      <c r="D747" s="4"/>
      <c r="E747" s="4"/>
      <c r="F747" s="4"/>
      <c r="G747" s="4"/>
    </row>
    <row r="748" spans="1:7" ht="12.75" customHeight="1" x14ac:dyDescent="0.3">
      <c r="A748" s="1"/>
      <c r="B748" s="1"/>
      <c r="C748" s="4"/>
      <c r="D748" s="4"/>
      <c r="E748" s="4"/>
      <c r="F748" s="4"/>
      <c r="G748" s="4"/>
    </row>
    <row r="749" spans="1:7" ht="12.75" customHeight="1" x14ac:dyDescent="0.3">
      <c r="A749" s="1"/>
      <c r="B749" s="1"/>
      <c r="C749" s="4"/>
      <c r="D749" s="4"/>
      <c r="E749" s="4"/>
      <c r="F749" s="4"/>
      <c r="G749" s="4"/>
    </row>
    <row r="750" spans="1:7" ht="12.75" customHeight="1" x14ac:dyDescent="0.3">
      <c r="A750" s="1"/>
      <c r="B750" s="1"/>
      <c r="C750" s="4"/>
      <c r="D750" s="4"/>
      <c r="E750" s="4"/>
      <c r="F750" s="4"/>
      <c r="G750" s="4"/>
    </row>
    <row r="751" spans="1:7" ht="12.75" customHeight="1" x14ac:dyDescent="0.3">
      <c r="A751" s="1"/>
      <c r="B751" s="1"/>
      <c r="C751" s="4"/>
      <c r="D751" s="4"/>
      <c r="E751" s="4"/>
      <c r="F751" s="4"/>
      <c r="G751" s="4"/>
    </row>
    <row r="752" spans="1:7" ht="12.75" customHeight="1" x14ac:dyDescent="0.3">
      <c r="A752" s="1"/>
      <c r="B752" s="1"/>
      <c r="C752" s="4"/>
      <c r="D752" s="4"/>
      <c r="E752" s="4"/>
      <c r="F752" s="4"/>
      <c r="G752" s="4"/>
    </row>
    <row r="753" spans="1:7" ht="12.75" customHeight="1" x14ac:dyDescent="0.3">
      <c r="A753" s="1"/>
      <c r="B753" s="1"/>
      <c r="C753" s="4"/>
      <c r="D753" s="4"/>
      <c r="E753" s="4"/>
      <c r="F753" s="4"/>
      <c r="G753" s="4"/>
    </row>
    <row r="754" spans="1:7" ht="12.75" customHeight="1" x14ac:dyDescent="0.3">
      <c r="A754" s="1"/>
      <c r="B754" s="1"/>
      <c r="C754" s="4"/>
      <c r="D754" s="4"/>
      <c r="E754" s="4"/>
      <c r="F754" s="4"/>
      <c r="G754" s="4"/>
    </row>
    <row r="755" spans="1:7" ht="12.75" customHeight="1" x14ac:dyDescent="0.3">
      <c r="A755" s="1"/>
      <c r="B755" s="1"/>
      <c r="C755" s="4"/>
      <c r="D755" s="4"/>
      <c r="E755" s="4"/>
      <c r="F755" s="4"/>
      <c r="G755" s="4"/>
    </row>
    <row r="756" spans="1:7" ht="12.75" customHeight="1" x14ac:dyDescent="0.3">
      <c r="A756" s="1"/>
      <c r="B756" s="1"/>
      <c r="C756" s="4"/>
      <c r="D756" s="4"/>
      <c r="E756" s="4"/>
      <c r="F756" s="4"/>
      <c r="G756" s="4"/>
    </row>
    <row r="757" spans="1:7" ht="12.75" customHeight="1" x14ac:dyDescent="0.3">
      <c r="A757" s="1"/>
      <c r="B757" s="1"/>
      <c r="C757" s="4"/>
      <c r="D757" s="4"/>
      <c r="E757" s="4"/>
      <c r="F757" s="4"/>
      <c r="G757" s="4"/>
    </row>
    <row r="758" spans="1:7" ht="12.75" customHeight="1" x14ac:dyDescent="0.3">
      <c r="A758" s="1"/>
      <c r="B758" s="1"/>
      <c r="C758" s="4"/>
      <c r="D758" s="4"/>
      <c r="E758" s="4"/>
      <c r="F758" s="4"/>
      <c r="G758" s="4"/>
    </row>
    <row r="759" spans="1:7" ht="12.75" customHeight="1" x14ac:dyDescent="0.3">
      <c r="A759" s="1"/>
      <c r="B759" s="1"/>
      <c r="C759" s="4"/>
      <c r="D759" s="4"/>
      <c r="E759" s="4"/>
      <c r="F759" s="4"/>
      <c r="G759" s="4"/>
    </row>
    <row r="760" spans="1:7" ht="12.75" customHeight="1" x14ac:dyDescent="0.3">
      <c r="A760" s="1"/>
      <c r="B760" s="1"/>
      <c r="C760" s="4"/>
      <c r="D760" s="4"/>
      <c r="E760" s="4"/>
      <c r="F760" s="4"/>
      <c r="G760" s="4"/>
    </row>
    <row r="761" spans="1:7" ht="12.75" customHeight="1" x14ac:dyDescent="0.3">
      <c r="A761" s="1"/>
      <c r="B761" s="1"/>
      <c r="C761" s="4"/>
      <c r="D761" s="4"/>
      <c r="E761" s="4"/>
      <c r="F761" s="4"/>
      <c r="G761" s="4"/>
    </row>
    <row r="762" spans="1:7" ht="12.75" customHeight="1" x14ac:dyDescent="0.3">
      <c r="A762" s="1"/>
      <c r="B762" s="1"/>
      <c r="C762" s="4"/>
      <c r="D762" s="4"/>
      <c r="E762" s="4"/>
      <c r="F762" s="4"/>
      <c r="G762" s="4"/>
    </row>
    <row r="763" spans="1:7" ht="12.75" customHeight="1" x14ac:dyDescent="0.3">
      <c r="A763" s="1"/>
      <c r="B763" s="1"/>
      <c r="C763" s="4"/>
      <c r="D763" s="4"/>
      <c r="E763" s="4"/>
      <c r="F763" s="4"/>
      <c r="G763" s="4"/>
    </row>
    <row r="764" spans="1:7" ht="12.75" customHeight="1" x14ac:dyDescent="0.3">
      <c r="A764" s="1"/>
      <c r="B764" s="1"/>
      <c r="C764" s="4"/>
      <c r="D764" s="4"/>
      <c r="E764" s="4"/>
      <c r="F764" s="4"/>
      <c r="G764" s="4"/>
    </row>
    <row r="765" spans="1:7" ht="12.75" customHeight="1" x14ac:dyDescent="0.3">
      <c r="A765" s="1"/>
      <c r="B765" s="1"/>
      <c r="C765" s="4"/>
      <c r="D765" s="4"/>
      <c r="E765" s="4"/>
      <c r="F765" s="4"/>
      <c r="G765" s="4"/>
    </row>
    <row r="766" spans="1:7" ht="12.75" customHeight="1" x14ac:dyDescent="0.3">
      <c r="A766" s="1"/>
      <c r="B766" s="1"/>
      <c r="C766" s="4"/>
      <c r="D766" s="4"/>
      <c r="E766" s="4"/>
      <c r="F766" s="4"/>
      <c r="G766" s="4"/>
    </row>
    <row r="767" spans="1:7" ht="12.75" customHeight="1" x14ac:dyDescent="0.3">
      <c r="A767" s="1"/>
      <c r="B767" s="1"/>
      <c r="C767" s="4"/>
      <c r="D767" s="4"/>
      <c r="E767" s="4"/>
      <c r="F767" s="4"/>
      <c r="G767" s="4"/>
    </row>
    <row r="768" spans="1:7" ht="12.75" customHeight="1" x14ac:dyDescent="0.3">
      <c r="A768" s="1"/>
      <c r="B768" s="1"/>
      <c r="C768" s="4"/>
      <c r="D768" s="4"/>
      <c r="E768" s="4"/>
      <c r="F768" s="4"/>
      <c r="G768" s="4"/>
    </row>
    <row r="769" spans="1:7" ht="12.75" customHeight="1" x14ac:dyDescent="0.3">
      <c r="A769" s="1"/>
      <c r="B769" s="1"/>
      <c r="C769" s="4"/>
      <c r="D769" s="4"/>
      <c r="E769" s="4"/>
      <c r="F769" s="4"/>
      <c r="G769" s="4"/>
    </row>
    <row r="770" spans="1:7" ht="12.75" customHeight="1" x14ac:dyDescent="0.3">
      <c r="A770" s="1"/>
      <c r="B770" s="1"/>
      <c r="C770" s="4"/>
      <c r="D770" s="4"/>
      <c r="E770" s="4"/>
      <c r="F770" s="4"/>
      <c r="G770" s="4"/>
    </row>
    <row r="771" spans="1:7" ht="12.75" customHeight="1" x14ac:dyDescent="0.3">
      <c r="A771" s="1"/>
      <c r="B771" s="1"/>
      <c r="C771" s="4"/>
      <c r="D771" s="4"/>
      <c r="E771" s="4"/>
      <c r="F771" s="4"/>
      <c r="G771" s="4"/>
    </row>
    <row r="772" spans="1:7" ht="12.75" customHeight="1" x14ac:dyDescent="0.3">
      <c r="A772" s="1"/>
      <c r="B772" s="1"/>
      <c r="C772" s="4"/>
      <c r="D772" s="4"/>
      <c r="E772" s="4"/>
      <c r="F772" s="4"/>
      <c r="G772" s="4"/>
    </row>
    <row r="773" spans="1:7" ht="12.75" customHeight="1" x14ac:dyDescent="0.3">
      <c r="A773" s="1"/>
      <c r="B773" s="1"/>
      <c r="C773" s="4"/>
      <c r="D773" s="4"/>
      <c r="E773" s="4"/>
      <c r="F773" s="4"/>
      <c r="G773" s="4"/>
    </row>
    <row r="774" spans="1:7" ht="12.75" customHeight="1" x14ac:dyDescent="0.3">
      <c r="A774" s="1"/>
      <c r="B774" s="1"/>
      <c r="C774" s="4"/>
      <c r="D774" s="4"/>
      <c r="E774" s="4"/>
      <c r="F774" s="4"/>
      <c r="G774" s="4"/>
    </row>
    <row r="775" spans="1:7" ht="12.75" customHeight="1" x14ac:dyDescent="0.3">
      <c r="A775" s="1"/>
      <c r="B775" s="1"/>
      <c r="C775" s="4"/>
      <c r="D775" s="4"/>
      <c r="E775" s="4"/>
      <c r="F775" s="4"/>
      <c r="G775" s="4"/>
    </row>
    <row r="776" spans="1:7" ht="12.75" customHeight="1" x14ac:dyDescent="0.3">
      <c r="A776" s="1"/>
      <c r="B776" s="1"/>
      <c r="C776" s="4"/>
      <c r="D776" s="4"/>
      <c r="E776" s="4"/>
      <c r="F776" s="4"/>
      <c r="G776" s="4"/>
    </row>
    <row r="777" spans="1:7" ht="12.75" customHeight="1" x14ac:dyDescent="0.3">
      <c r="A777" s="1"/>
      <c r="B777" s="1"/>
      <c r="C777" s="4"/>
      <c r="D777" s="4"/>
      <c r="E777" s="4"/>
      <c r="F777" s="4"/>
      <c r="G777" s="4"/>
    </row>
    <row r="778" spans="1:7" ht="12.75" customHeight="1" x14ac:dyDescent="0.3">
      <c r="A778" s="1"/>
      <c r="B778" s="1"/>
      <c r="C778" s="4"/>
      <c r="D778" s="4"/>
      <c r="E778" s="4"/>
      <c r="F778" s="4"/>
      <c r="G778" s="4"/>
    </row>
    <row r="779" spans="1:7" ht="12.75" customHeight="1" x14ac:dyDescent="0.3">
      <c r="A779" s="1"/>
      <c r="B779" s="1"/>
      <c r="C779" s="4"/>
      <c r="D779" s="4"/>
      <c r="E779" s="4"/>
      <c r="F779" s="4"/>
      <c r="G779" s="4"/>
    </row>
    <row r="780" spans="1:7" ht="12.75" customHeight="1" x14ac:dyDescent="0.3">
      <c r="A780" s="1"/>
      <c r="B780" s="1"/>
      <c r="C780" s="4"/>
      <c r="D780" s="4"/>
      <c r="E780" s="4"/>
      <c r="F780" s="4"/>
      <c r="G780" s="4"/>
    </row>
    <row r="781" spans="1:7" ht="12.75" customHeight="1" x14ac:dyDescent="0.3">
      <c r="A781" s="1"/>
      <c r="B781" s="1"/>
      <c r="C781" s="4"/>
      <c r="D781" s="4"/>
      <c r="E781" s="4"/>
      <c r="F781" s="4"/>
      <c r="G781" s="4"/>
    </row>
    <row r="782" spans="1:7" ht="12.75" customHeight="1" x14ac:dyDescent="0.3">
      <c r="A782" s="1"/>
      <c r="B782" s="1"/>
      <c r="C782" s="4"/>
      <c r="D782" s="4"/>
      <c r="E782" s="4"/>
      <c r="F782" s="4"/>
      <c r="G782" s="4"/>
    </row>
    <row r="783" spans="1:7" ht="12.75" customHeight="1" x14ac:dyDescent="0.3">
      <c r="A783" s="1"/>
      <c r="B783" s="1"/>
      <c r="C783" s="4"/>
      <c r="D783" s="4"/>
      <c r="E783" s="4"/>
      <c r="F783" s="4"/>
      <c r="G783" s="4"/>
    </row>
    <row r="784" spans="1:7" ht="12.75" customHeight="1" x14ac:dyDescent="0.3">
      <c r="A784" s="1"/>
      <c r="B784" s="1"/>
      <c r="C784" s="4"/>
      <c r="D784" s="4"/>
      <c r="E784" s="4"/>
      <c r="F784" s="4"/>
      <c r="G784" s="4"/>
    </row>
    <row r="785" spans="1:7" ht="12.75" customHeight="1" x14ac:dyDescent="0.3">
      <c r="A785" s="1"/>
      <c r="B785" s="1"/>
      <c r="C785" s="4"/>
      <c r="D785" s="4"/>
      <c r="E785" s="4"/>
      <c r="F785" s="4"/>
      <c r="G785" s="4"/>
    </row>
    <row r="786" spans="1:7" ht="12.75" customHeight="1" x14ac:dyDescent="0.3">
      <c r="A786" s="1"/>
      <c r="B786" s="1"/>
      <c r="C786" s="4"/>
      <c r="D786" s="4"/>
      <c r="E786" s="4"/>
      <c r="F786" s="4"/>
      <c r="G786" s="4"/>
    </row>
    <row r="787" spans="1:7" ht="12.75" customHeight="1" x14ac:dyDescent="0.3">
      <c r="A787" s="1"/>
      <c r="B787" s="1"/>
      <c r="C787" s="4"/>
      <c r="D787" s="4"/>
      <c r="E787" s="4"/>
      <c r="F787" s="4"/>
      <c r="G787" s="4"/>
    </row>
    <row r="788" spans="1:7" ht="12.75" customHeight="1" x14ac:dyDescent="0.3">
      <c r="A788" s="1"/>
      <c r="B788" s="1"/>
      <c r="C788" s="4"/>
      <c r="D788" s="4"/>
      <c r="E788" s="4"/>
      <c r="F788" s="4"/>
      <c r="G788" s="4"/>
    </row>
    <row r="789" spans="1:7" ht="12.75" customHeight="1" x14ac:dyDescent="0.3">
      <c r="A789" s="1"/>
      <c r="B789" s="1"/>
      <c r="C789" s="4"/>
      <c r="D789" s="4"/>
      <c r="E789" s="4"/>
      <c r="F789" s="4"/>
      <c r="G789" s="4"/>
    </row>
    <row r="790" spans="1:7" ht="12.75" customHeight="1" x14ac:dyDescent="0.3">
      <c r="A790" s="1"/>
      <c r="B790" s="1"/>
      <c r="C790" s="4"/>
      <c r="D790" s="4"/>
      <c r="E790" s="4"/>
      <c r="F790" s="4"/>
      <c r="G790" s="4"/>
    </row>
    <row r="791" spans="1:7" ht="12.75" customHeight="1" x14ac:dyDescent="0.3">
      <c r="A791" s="1"/>
      <c r="B791" s="1"/>
      <c r="C791" s="4"/>
      <c r="D791" s="4"/>
      <c r="E791" s="4"/>
      <c r="F791" s="4"/>
      <c r="G791" s="4"/>
    </row>
    <row r="792" spans="1:7" ht="12.75" customHeight="1" x14ac:dyDescent="0.3">
      <c r="A792" s="1"/>
      <c r="B792" s="1"/>
      <c r="C792" s="4"/>
      <c r="D792" s="4"/>
      <c r="E792" s="4"/>
      <c r="F792" s="4"/>
      <c r="G792" s="4"/>
    </row>
    <row r="793" spans="1:7" ht="12.75" customHeight="1" x14ac:dyDescent="0.3">
      <c r="A793" s="1"/>
      <c r="B793" s="1"/>
      <c r="C793" s="4"/>
      <c r="D793" s="4"/>
      <c r="E793" s="4"/>
      <c r="F793" s="4"/>
      <c r="G793" s="4"/>
    </row>
    <row r="794" spans="1:7" ht="12.75" customHeight="1" x14ac:dyDescent="0.3">
      <c r="A794" s="1"/>
      <c r="B794" s="1"/>
      <c r="C794" s="4"/>
      <c r="D794" s="4"/>
      <c r="E794" s="4"/>
      <c r="F794" s="4"/>
      <c r="G794" s="4"/>
    </row>
    <row r="795" spans="1:7" ht="12.75" customHeight="1" x14ac:dyDescent="0.3">
      <c r="A795" s="1"/>
      <c r="B795" s="1"/>
      <c r="C795" s="4"/>
      <c r="D795" s="4"/>
      <c r="E795" s="4"/>
      <c r="F795" s="4"/>
      <c r="G795" s="4"/>
    </row>
    <row r="796" spans="1:7" ht="12.75" customHeight="1" x14ac:dyDescent="0.3">
      <c r="A796" s="1"/>
      <c r="B796" s="1"/>
      <c r="C796" s="4"/>
      <c r="D796" s="4"/>
      <c r="E796" s="4"/>
      <c r="F796" s="4"/>
      <c r="G796" s="4"/>
    </row>
    <row r="797" spans="1:7" ht="12.75" customHeight="1" x14ac:dyDescent="0.3">
      <c r="A797" s="1"/>
      <c r="B797" s="1"/>
      <c r="C797" s="4"/>
      <c r="D797" s="4"/>
      <c r="E797" s="4"/>
      <c r="F797" s="4"/>
      <c r="G797" s="4"/>
    </row>
    <row r="798" spans="1:7" ht="12.75" customHeight="1" x14ac:dyDescent="0.3">
      <c r="A798" s="1"/>
      <c r="B798" s="1"/>
      <c r="C798" s="4"/>
      <c r="D798" s="4"/>
      <c r="E798" s="4"/>
      <c r="F798" s="4"/>
      <c r="G798" s="4"/>
    </row>
    <row r="799" spans="1:7" ht="12.75" customHeight="1" x14ac:dyDescent="0.3">
      <c r="A799" s="1"/>
      <c r="B799" s="1"/>
      <c r="C799" s="4"/>
      <c r="D799" s="4"/>
      <c r="E799" s="4"/>
      <c r="F799" s="4"/>
      <c r="G799" s="4"/>
    </row>
    <row r="800" spans="1:7" ht="12.75" customHeight="1" x14ac:dyDescent="0.3">
      <c r="A800" s="1"/>
      <c r="B800" s="1"/>
      <c r="C800" s="4"/>
      <c r="D800" s="4"/>
      <c r="E800" s="4"/>
      <c r="F800" s="4"/>
      <c r="G800" s="4"/>
    </row>
    <row r="801" spans="1:7" ht="12.75" customHeight="1" x14ac:dyDescent="0.3">
      <c r="A801" s="1"/>
      <c r="B801" s="1"/>
      <c r="C801" s="4"/>
      <c r="D801" s="4"/>
      <c r="E801" s="4"/>
      <c r="F801" s="4"/>
      <c r="G801" s="4"/>
    </row>
    <row r="802" spans="1:7" ht="12.75" customHeight="1" x14ac:dyDescent="0.3">
      <c r="A802" s="1"/>
      <c r="B802" s="1"/>
      <c r="C802" s="4"/>
      <c r="D802" s="4"/>
      <c r="E802" s="4"/>
      <c r="F802" s="4"/>
      <c r="G802" s="4"/>
    </row>
    <row r="803" spans="1:7" ht="12.75" customHeight="1" x14ac:dyDescent="0.3">
      <c r="A803" s="1"/>
      <c r="B803" s="1"/>
      <c r="C803" s="4"/>
      <c r="D803" s="4"/>
      <c r="E803" s="4"/>
      <c r="F803" s="4"/>
      <c r="G803" s="4"/>
    </row>
    <row r="804" spans="1:7" ht="12.75" customHeight="1" x14ac:dyDescent="0.3">
      <c r="A804" s="1"/>
      <c r="B804" s="1"/>
      <c r="C804" s="4"/>
      <c r="D804" s="4"/>
      <c r="E804" s="4"/>
      <c r="F804" s="4"/>
      <c r="G804" s="4"/>
    </row>
    <row r="805" spans="1:7" ht="12.75" customHeight="1" x14ac:dyDescent="0.3">
      <c r="A805" s="1"/>
      <c r="B805" s="1"/>
      <c r="C805" s="4"/>
      <c r="D805" s="4"/>
      <c r="E805" s="4"/>
      <c r="F805" s="4"/>
      <c r="G805" s="4"/>
    </row>
    <row r="806" spans="1:7" ht="12.75" customHeight="1" x14ac:dyDescent="0.3">
      <c r="A806" s="1"/>
      <c r="B806" s="1"/>
      <c r="C806" s="4"/>
      <c r="D806" s="4"/>
      <c r="E806" s="4"/>
      <c r="F806" s="4"/>
      <c r="G806" s="4"/>
    </row>
    <row r="807" spans="1:7" ht="12.75" customHeight="1" x14ac:dyDescent="0.3">
      <c r="A807" s="1"/>
      <c r="B807" s="1"/>
      <c r="C807" s="4"/>
      <c r="D807" s="4"/>
      <c r="E807" s="4"/>
      <c r="F807" s="4"/>
      <c r="G807" s="4"/>
    </row>
    <row r="808" spans="1:7" ht="12.75" customHeight="1" x14ac:dyDescent="0.3">
      <c r="A808" s="1"/>
      <c r="B808" s="1"/>
      <c r="C808" s="4"/>
      <c r="D808" s="4"/>
      <c r="E808" s="4"/>
      <c r="F808" s="4"/>
      <c r="G808" s="4"/>
    </row>
    <row r="809" spans="1:7" ht="12.75" customHeight="1" x14ac:dyDescent="0.3">
      <c r="A809" s="1"/>
      <c r="B809" s="1"/>
      <c r="C809" s="4"/>
      <c r="D809" s="4"/>
      <c r="E809" s="4"/>
      <c r="F809" s="4"/>
      <c r="G809" s="4"/>
    </row>
    <row r="810" spans="1:7" ht="12.75" customHeight="1" x14ac:dyDescent="0.3">
      <c r="A810" s="1"/>
      <c r="B810" s="1"/>
      <c r="C810" s="4"/>
      <c r="D810" s="4"/>
      <c r="E810" s="4"/>
      <c r="F810" s="4"/>
      <c r="G810" s="4"/>
    </row>
    <row r="811" spans="1:7" ht="12.75" customHeight="1" x14ac:dyDescent="0.3">
      <c r="A811" s="1"/>
      <c r="B811" s="1"/>
      <c r="C811" s="4"/>
      <c r="D811" s="4"/>
      <c r="E811" s="4"/>
      <c r="F811" s="4"/>
      <c r="G811" s="4"/>
    </row>
    <row r="812" spans="1:7" ht="12.75" customHeight="1" x14ac:dyDescent="0.3">
      <c r="A812" s="1"/>
      <c r="B812" s="1"/>
      <c r="C812" s="4"/>
      <c r="D812" s="4"/>
      <c r="E812" s="4"/>
      <c r="F812" s="4"/>
      <c r="G812" s="4"/>
    </row>
    <row r="813" spans="1:7" ht="12.75" customHeight="1" x14ac:dyDescent="0.3">
      <c r="A813" s="1"/>
      <c r="B813" s="1"/>
      <c r="C813" s="4"/>
      <c r="D813" s="4"/>
      <c r="E813" s="4"/>
      <c r="F813" s="4"/>
      <c r="G813" s="4"/>
    </row>
    <row r="814" spans="1:7" ht="12.75" customHeight="1" x14ac:dyDescent="0.3">
      <c r="A814" s="1"/>
      <c r="B814" s="1"/>
      <c r="C814" s="4"/>
      <c r="D814" s="4"/>
      <c r="E814" s="4"/>
      <c r="F814" s="4"/>
      <c r="G814" s="4"/>
    </row>
    <row r="815" spans="1:7" ht="12.75" customHeight="1" x14ac:dyDescent="0.3">
      <c r="A815" s="1"/>
      <c r="B815" s="1"/>
      <c r="C815" s="4"/>
      <c r="D815" s="4"/>
      <c r="E815" s="4"/>
      <c r="F815" s="4"/>
      <c r="G815" s="4"/>
    </row>
    <row r="816" spans="1:7" ht="12.75" customHeight="1" x14ac:dyDescent="0.3">
      <c r="A816" s="1"/>
      <c r="B816" s="1"/>
      <c r="C816" s="4"/>
      <c r="D816" s="4"/>
      <c r="E816" s="4"/>
      <c r="F816" s="4"/>
      <c r="G816" s="4"/>
    </row>
    <row r="817" spans="1:7" ht="12.75" customHeight="1" x14ac:dyDescent="0.3">
      <c r="A817" s="1"/>
      <c r="B817" s="1"/>
      <c r="C817" s="4"/>
      <c r="D817" s="4"/>
      <c r="E817" s="4"/>
      <c r="F817" s="4"/>
      <c r="G817" s="4"/>
    </row>
    <row r="818" spans="1:7" ht="12.75" customHeight="1" x14ac:dyDescent="0.3">
      <c r="A818" s="1"/>
      <c r="B818" s="1"/>
      <c r="C818" s="4"/>
      <c r="D818" s="4"/>
      <c r="E818" s="4"/>
      <c r="F818" s="4"/>
      <c r="G818" s="4"/>
    </row>
    <row r="819" spans="1:7" ht="12.75" customHeight="1" x14ac:dyDescent="0.3">
      <c r="A819" s="1"/>
      <c r="B819" s="1"/>
      <c r="C819" s="4"/>
      <c r="D819" s="4"/>
      <c r="E819" s="4"/>
      <c r="F819" s="4"/>
      <c r="G819" s="4"/>
    </row>
    <row r="820" spans="1:7" ht="12.75" customHeight="1" x14ac:dyDescent="0.3">
      <c r="A820" s="1"/>
      <c r="B820" s="1"/>
      <c r="C820" s="4"/>
      <c r="D820" s="4"/>
      <c r="E820" s="4"/>
      <c r="F820" s="4"/>
      <c r="G820" s="4"/>
    </row>
    <row r="821" spans="1:7" ht="12.75" customHeight="1" x14ac:dyDescent="0.3">
      <c r="A821" s="1"/>
      <c r="B821" s="1"/>
      <c r="C821" s="4"/>
      <c r="D821" s="4"/>
      <c r="E821" s="4"/>
      <c r="F821" s="4"/>
      <c r="G821" s="4"/>
    </row>
    <row r="822" spans="1:7" ht="12.75" customHeight="1" x14ac:dyDescent="0.3">
      <c r="A822" s="1"/>
      <c r="B822" s="1"/>
      <c r="C822" s="4"/>
      <c r="D822" s="4"/>
      <c r="E822" s="4"/>
      <c r="F822" s="4"/>
      <c r="G822" s="4"/>
    </row>
    <row r="823" spans="1:7" ht="12.75" customHeight="1" x14ac:dyDescent="0.3">
      <c r="A823" s="1"/>
      <c r="B823" s="1"/>
      <c r="C823" s="4"/>
      <c r="D823" s="4"/>
      <c r="E823" s="4"/>
      <c r="F823" s="4"/>
      <c r="G823" s="4"/>
    </row>
    <row r="824" spans="1:7" ht="12.75" customHeight="1" x14ac:dyDescent="0.3">
      <c r="A824" s="1"/>
      <c r="B824" s="1"/>
      <c r="C824" s="4"/>
      <c r="D824" s="4"/>
      <c r="E824" s="4"/>
      <c r="F824" s="4"/>
      <c r="G824" s="4"/>
    </row>
    <row r="825" spans="1:7" ht="12.75" customHeight="1" x14ac:dyDescent="0.3">
      <c r="A825" s="1"/>
      <c r="B825" s="1"/>
      <c r="C825" s="4"/>
      <c r="D825" s="4"/>
      <c r="E825" s="4"/>
      <c r="F825" s="4"/>
      <c r="G825" s="4"/>
    </row>
    <row r="826" spans="1:7" ht="12.75" customHeight="1" x14ac:dyDescent="0.3">
      <c r="A826" s="1"/>
      <c r="B826" s="1"/>
      <c r="C826" s="4"/>
      <c r="D826" s="4"/>
      <c r="E826" s="4"/>
      <c r="F826" s="4"/>
      <c r="G826" s="4"/>
    </row>
    <row r="827" spans="1:7" ht="12.75" customHeight="1" x14ac:dyDescent="0.3">
      <c r="A827" s="1"/>
      <c r="B827" s="1"/>
      <c r="C827" s="4"/>
      <c r="D827" s="4"/>
      <c r="E827" s="4"/>
      <c r="F827" s="4"/>
      <c r="G827" s="4"/>
    </row>
    <row r="828" spans="1:7" ht="12.75" customHeight="1" x14ac:dyDescent="0.3">
      <c r="A828" s="1"/>
      <c r="B828" s="1"/>
      <c r="C828" s="4"/>
      <c r="D828" s="4"/>
      <c r="E828" s="4"/>
      <c r="F828" s="4"/>
      <c r="G828" s="4"/>
    </row>
    <row r="829" spans="1:7" ht="12.75" customHeight="1" x14ac:dyDescent="0.3">
      <c r="A829" s="1"/>
      <c r="B829" s="1"/>
      <c r="C829" s="4"/>
      <c r="D829" s="4"/>
      <c r="E829" s="4"/>
      <c r="F829" s="4"/>
      <c r="G829" s="4"/>
    </row>
    <row r="830" spans="1:7" ht="12.75" customHeight="1" x14ac:dyDescent="0.3">
      <c r="A830" s="1"/>
      <c r="B830" s="1"/>
      <c r="C830" s="4"/>
      <c r="D830" s="4"/>
      <c r="E830" s="4"/>
      <c r="F830" s="4"/>
      <c r="G830" s="4"/>
    </row>
    <row r="831" spans="1:7" ht="12.75" customHeight="1" x14ac:dyDescent="0.3">
      <c r="A831" s="1"/>
      <c r="B831" s="1"/>
      <c r="C831" s="4"/>
      <c r="D831" s="4"/>
      <c r="E831" s="4"/>
      <c r="F831" s="4"/>
      <c r="G831" s="4"/>
    </row>
    <row r="832" spans="1:7" ht="12.75" customHeight="1" x14ac:dyDescent="0.3">
      <c r="A832" s="1"/>
      <c r="B832" s="1"/>
      <c r="C832" s="4"/>
      <c r="D832" s="4"/>
      <c r="E832" s="4"/>
      <c r="F832" s="4"/>
      <c r="G832" s="4"/>
    </row>
    <row r="833" spans="1:7" ht="12.75" customHeight="1" x14ac:dyDescent="0.3">
      <c r="A833" s="1"/>
      <c r="B833" s="1"/>
      <c r="C833" s="4"/>
      <c r="D833" s="4"/>
      <c r="E833" s="4"/>
      <c r="F833" s="4"/>
      <c r="G833" s="4"/>
    </row>
    <row r="834" spans="1:7" ht="12.75" customHeight="1" x14ac:dyDescent="0.3">
      <c r="A834" s="1"/>
      <c r="B834" s="1"/>
      <c r="C834" s="4"/>
      <c r="D834" s="4"/>
      <c r="E834" s="4"/>
      <c r="F834" s="4"/>
      <c r="G834" s="4"/>
    </row>
    <row r="835" spans="1:7" ht="12.75" customHeight="1" x14ac:dyDescent="0.3">
      <c r="A835" s="1"/>
      <c r="B835" s="1"/>
      <c r="C835" s="4"/>
      <c r="D835" s="4"/>
      <c r="E835" s="4"/>
      <c r="F835" s="4"/>
      <c r="G835" s="4"/>
    </row>
    <row r="836" spans="1:7" ht="12.75" customHeight="1" x14ac:dyDescent="0.3">
      <c r="A836" s="1"/>
      <c r="B836" s="1"/>
      <c r="C836" s="4"/>
      <c r="D836" s="4"/>
      <c r="E836" s="4"/>
      <c r="F836" s="4"/>
      <c r="G836" s="4"/>
    </row>
    <row r="837" spans="1:7" ht="12.75" customHeight="1" x14ac:dyDescent="0.3">
      <c r="A837" s="1"/>
      <c r="B837" s="1"/>
      <c r="C837" s="4"/>
      <c r="D837" s="4"/>
      <c r="E837" s="4"/>
      <c r="F837" s="4"/>
      <c r="G837" s="4"/>
    </row>
    <row r="838" spans="1:7" ht="12.75" customHeight="1" x14ac:dyDescent="0.3">
      <c r="A838" s="1"/>
      <c r="B838" s="1"/>
      <c r="C838" s="4"/>
      <c r="D838" s="4"/>
      <c r="E838" s="4"/>
      <c r="F838" s="4"/>
      <c r="G838" s="4"/>
    </row>
    <row r="839" spans="1:7" ht="12.75" customHeight="1" x14ac:dyDescent="0.3">
      <c r="A839" s="1"/>
      <c r="B839" s="1"/>
      <c r="C839" s="4"/>
      <c r="D839" s="4"/>
      <c r="E839" s="4"/>
      <c r="F839" s="4"/>
      <c r="G839" s="4"/>
    </row>
    <row r="840" spans="1:7" ht="12.75" customHeight="1" x14ac:dyDescent="0.3">
      <c r="A840" s="1"/>
      <c r="B840" s="1"/>
      <c r="C840" s="4"/>
      <c r="D840" s="4"/>
      <c r="E840" s="4"/>
      <c r="F840" s="4"/>
      <c r="G840" s="4"/>
    </row>
    <row r="841" spans="1:7" ht="12.75" customHeight="1" x14ac:dyDescent="0.3">
      <c r="A841" s="1"/>
      <c r="B841" s="1"/>
      <c r="C841" s="4"/>
      <c r="D841" s="4"/>
      <c r="E841" s="4"/>
      <c r="F841" s="4"/>
      <c r="G841" s="4"/>
    </row>
    <row r="842" spans="1:7" ht="12.75" customHeight="1" x14ac:dyDescent="0.3">
      <c r="A842" s="1"/>
      <c r="B842" s="1"/>
      <c r="C842" s="4"/>
      <c r="D842" s="4"/>
      <c r="E842" s="4"/>
      <c r="F842" s="4"/>
      <c r="G842" s="4"/>
    </row>
    <row r="843" spans="1:7" ht="12.75" customHeight="1" x14ac:dyDescent="0.3">
      <c r="A843" s="1"/>
      <c r="B843" s="1"/>
      <c r="C843" s="4"/>
      <c r="D843" s="4"/>
      <c r="E843" s="4"/>
      <c r="F843" s="4"/>
      <c r="G843" s="4"/>
    </row>
    <row r="844" spans="1:7" ht="12.75" customHeight="1" x14ac:dyDescent="0.3">
      <c r="A844" s="1"/>
      <c r="B844" s="1"/>
      <c r="C844" s="4"/>
      <c r="D844" s="4"/>
      <c r="E844" s="4"/>
      <c r="F844" s="4"/>
      <c r="G844" s="4"/>
    </row>
    <row r="845" spans="1:7" ht="12.75" customHeight="1" x14ac:dyDescent="0.3">
      <c r="A845" s="1"/>
      <c r="B845" s="1"/>
      <c r="C845" s="4"/>
      <c r="D845" s="4"/>
      <c r="E845" s="4"/>
      <c r="F845" s="4"/>
      <c r="G845" s="4"/>
    </row>
    <row r="846" spans="1:7" ht="12.75" customHeight="1" x14ac:dyDescent="0.3">
      <c r="A846" s="1"/>
      <c r="B846" s="1"/>
      <c r="C846" s="4"/>
      <c r="D846" s="4"/>
      <c r="E846" s="4"/>
      <c r="F846" s="4"/>
      <c r="G846" s="4"/>
    </row>
    <row r="847" spans="1:7" ht="12.75" customHeight="1" x14ac:dyDescent="0.3">
      <c r="A847" s="1"/>
      <c r="B847" s="1"/>
      <c r="C847" s="4"/>
      <c r="D847" s="4"/>
      <c r="E847" s="4"/>
      <c r="F847" s="4"/>
      <c r="G847" s="4"/>
    </row>
    <row r="848" spans="1:7" ht="12.75" customHeight="1" x14ac:dyDescent="0.3">
      <c r="A848" s="1"/>
      <c r="B848" s="1"/>
      <c r="C848" s="4"/>
      <c r="D848" s="4"/>
      <c r="E848" s="4"/>
      <c r="F848" s="4"/>
      <c r="G848" s="4"/>
    </row>
    <row r="849" spans="1:7" ht="12.75" customHeight="1" x14ac:dyDescent="0.3">
      <c r="A849" s="1"/>
      <c r="B849" s="1"/>
      <c r="C849" s="4"/>
      <c r="D849" s="4"/>
      <c r="E849" s="4"/>
      <c r="F849" s="4"/>
      <c r="G849" s="4"/>
    </row>
    <row r="850" spans="1:7" ht="12.75" customHeight="1" x14ac:dyDescent="0.3">
      <c r="A850" s="1"/>
      <c r="B850" s="1"/>
      <c r="C850" s="4"/>
      <c r="D850" s="4"/>
      <c r="E850" s="4"/>
      <c r="F850" s="4"/>
      <c r="G850" s="4"/>
    </row>
    <row r="851" spans="1:7" ht="12.75" customHeight="1" x14ac:dyDescent="0.3">
      <c r="A851" s="1"/>
      <c r="B851" s="1"/>
      <c r="C851" s="4"/>
      <c r="D851" s="4"/>
      <c r="E851" s="4"/>
      <c r="F851" s="4"/>
      <c r="G851" s="4"/>
    </row>
    <row r="852" spans="1:7" ht="12.75" customHeight="1" x14ac:dyDescent="0.3">
      <c r="A852" s="1"/>
      <c r="B852" s="1"/>
      <c r="C852" s="4"/>
      <c r="D852" s="4"/>
      <c r="E852" s="4"/>
      <c r="F852" s="4"/>
      <c r="G852" s="4"/>
    </row>
    <row r="853" spans="1:7" ht="12.75" customHeight="1" x14ac:dyDescent="0.3">
      <c r="A853" s="1"/>
      <c r="B853" s="1"/>
      <c r="C853" s="4"/>
      <c r="D853" s="4"/>
      <c r="E853" s="4"/>
      <c r="F853" s="4"/>
      <c r="G853" s="4"/>
    </row>
    <row r="854" spans="1:7" ht="12.75" customHeight="1" x14ac:dyDescent="0.3">
      <c r="A854" s="1"/>
      <c r="B854" s="1"/>
      <c r="C854" s="4"/>
      <c r="D854" s="4"/>
      <c r="E854" s="4"/>
      <c r="F854" s="4"/>
      <c r="G854" s="4"/>
    </row>
    <row r="855" spans="1:7" ht="12.75" customHeight="1" x14ac:dyDescent="0.3">
      <c r="A855" s="1"/>
      <c r="B855" s="1"/>
      <c r="C855" s="4"/>
      <c r="D855" s="4"/>
      <c r="E855" s="4"/>
      <c r="F855" s="4"/>
      <c r="G855" s="4"/>
    </row>
    <row r="856" spans="1:7" ht="12.75" customHeight="1" x14ac:dyDescent="0.3">
      <c r="A856" s="1"/>
      <c r="B856" s="1"/>
      <c r="C856" s="4"/>
      <c r="D856" s="4"/>
      <c r="E856" s="4"/>
      <c r="F856" s="4"/>
      <c r="G856" s="4"/>
    </row>
    <row r="857" spans="1:7" ht="12.75" customHeight="1" x14ac:dyDescent="0.3">
      <c r="A857" s="1"/>
      <c r="B857" s="1"/>
      <c r="C857" s="4"/>
      <c r="D857" s="4"/>
      <c r="E857" s="4"/>
      <c r="F857" s="4"/>
      <c r="G857" s="4"/>
    </row>
    <row r="858" spans="1:7" ht="12.75" customHeight="1" x14ac:dyDescent="0.3">
      <c r="A858" s="1"/>
      <c r="B858" s="1"/>
      <c r="C858" s="4"/>
      <c r="D858" s="4"/>
      <c r="E858" s="4"/>
      <c r="F858" s="4"/>
      <c r="G858" s="4"/>
    </row>
    <row r="859" spans="1:7" ht="12.75" customHeight="1" x14ac:dyDescent="0.3">
      <c r="A859" s="1"/>
      <c r="B859" s="1"/>
      <c r="C859" s="4"/>
      <c r="D859" s="4"/>
      <c r="E859" s="4"/>
      <c r="F859" s="4"/>
      <c r="G859" s="4"/>
    </row>
    <row r="860" spans="1:7" ht="12.75" customHeight="1" x14ac:dyDescent="0.3">
      <c r="A860" s="1"/>
      <c r="B860" s="1"/>
      <c r="C860" s="4"/>
      <c r="D860" s="4"/>
      <c r="E860" s="4"/>
      <c r="F860" s="4"/>
      <c r="G860" s="4"/>
    </row>
    <row r="861" spans="1:7" ht="12.75" customHeight="1" x14ac:dyDescent="0.3">
      <c r="A861" s="1"/>
      <c r="B861" s="1"/>
      <c r="C861" s="4"/>
      <c r="D861" s="4"/>
      <c r="E861" s="4"/>
      <c r="F861" s="4"/>
      <c r="G861" s="4"/>
    </row>
    <row r="862" spans="1:7" ht="12.75" customHeight="1" x14ac:dyDescent="0.3">
      <c r="A862" s="1"/>
      <c r="B862" s="1"/>
      <c r="C862" s="4"/>
      <c r="D862" s="4"/>
      <c r="E862" s="4"/>
      <c r="F862" s="4"/>
      <c r="G862" s="4"/>
    </row>
    <row r="863" spans="1:7" ht="12.75" customHeight="1" x14ac:dyDescent="0.3">
      <c r="A863" s="1"/>
      <c r="B863" s="1"/>
      <c r="C863" s="4"/>
      <c r="D863" s="4"/>
      <c r="E863" s="4"/>
      <c r="F863" s="4"/>
      <c r="G863" s="4"/>
    </row>
    <row r="864" spans="1:7" ht="12.75" customHeight="1" x14ac:dyDescent="0.3">
      <c r="A864" s="1"/>
      <c r="B864" s="1"/>
      <c r="C864" s="4"/>
      <c r="D864" s="4"/>
      <c r="E864" s="4"/>
      <c r="F864" s="4"/>
      <c r="G864" s="4"/>
    </row>
    <row r="865" spans="1:7" ht="12.75" customHeight="1" x14ac:dyDescent="0.3">
      <c r="A865" s="1"/>
      <c r="B865" s="1"/>
      <c r="C865" s="4"/>
      <c r="D865" s="4"/>
      <c r="E865" s="4"/>
      <c r="F865" s="4"/>
      <c r="G865" s="4"/>
    </row>
    <row r="866" spans="1:7" ht="12.75" customHeight="1" x14ac:dyDescent="0.3">
      <c r="A866" s="1"/>
      <c r="B866" s="1"/>
      <c r="C866" s="4"/>
      <c r="D866" s="4"/>
      <c r="E866" s="4"/>
      <c r="F866" s="4"/>
      <c r="G866" s="4"/>
    </row>
    <row r="867" spans="1:7" ht="12.75" customHeight="1" x14ac:dyDescent="0.3">
      <c r="A867" s="1"/>
      <c r="B867" s="1"/>
      <c r="C867" s="4"/>
      <c r="D867" s="4"/>
      <c r="E867" s="4"/>
      <c r="F867" s="4"/>
      <c r="G867" s="4"/>
    </row>
    <row r="868" spans="1:7" ht="12.75" customHeight="1" x14ac:dyDescent="0.3">
      <c r="A868" s="1"/>
      <c r="B868" s="1"/>
      <c r="C868" s="4"/>
      <c r="D868" s="4"/>
      <c r="E868" s="4"/>
      <c r="F868" s="4"/>
      <c r="G868" s="4"/>
    </row>
    <row r="869" spans="1:7" ht="12.75" customHeight="1" x14ac:dyDescent="0.3">
      <c r="A869" s="1"/>
      <c r="B869" s="1"/>
      <c r="C869" s="4"/>
      <c r="D869" s="4"/>
      <c r="E869" s="4"/>
      <c r="F869" s="4"/>
      <c r="G869" s="4"/>
    </row>
    <row r="870" spans="1:7" ht="12.75" customHeight="1" x14ac:dyDescent="0.3">
      <c r="A870" s="1"/>
      <c r="B870" s="1"/>
      <c r="C870" s="4"/>
      <c r="D870" s="4"/>
      <c r="E870" s="4"/>
      <c r="F870" s="4"/>
      <c r="G870" s="4"/>
    </row>
    <row r="871" spans="1:7" ht="12.75" customHeight="1" x14ac:dyDescent="0.3">
      <c r="A871" s="1"/>
      <c r="B871" s="1"/>
      <c r="C871" s="4"/>
      <c r="D871" s="4"/>
      <c r="E871" s="4"/>
      <c r="F871" s="4"/>
      <c r="G871" s="4"/>
    </row>
    <row r="872" spans="1:7" ht="12.75" customHeight="1" x14ac:dyDescent="0.3">
      <c r="A872" s="1"/>
      <c r="B872" s="1"/>
      <c r="C872" s="4"/>
      <c r="D872" s="4"/>
      <c r="E872" s="4"/>
      <c r="F872" s="4"/>
      <c r="G872" s="4"/>
    </row>
    <row r="873" spans="1:7" ht="12.75" customHeight="1" x14ac:dyDescent="0.3">
      <c r="A873" s="1"/>
      <c r="B873" s="1"/>
      <c r="C873" s="4"/>
      <c r="D873" s="4"/>
      <c r="E873" s="4"/>
      <c r="F873" s="4"/>
      <c r="G873" s="4"/>
    </row>
    <row r="874" spans="1:7" ht="12.75" customHeight="1" x14ac:dyDescent="0.3">
      <c r="A874" s="1"/>
      <c r="B874" s="1"/>
      <c r="C874" s="4"/>
      <c r="D874" s="4"/>
      <c r="E874" s="4"/>
      <c r="F874" s="4"/>
      <c r="G874" s="4"/>
    </row>
    <row r="875" spans="1:7" ht="12.75" customHeight="1" x14ac:dyDescent="0.3">
      <c r="A875" s="1"/>
      <c r="B875" s="1"/>
      <c r="C875" s="4"/>
      <c r="D875" s="4"/>
      <c r="E875" s="4"/>
      <c r="F875" s="4"/>
      <c r="G875" s="4"/>
    </row>
    <row r="876" spans="1:7" ht="12.75" customHeight="1" x14ac:dyDescent="0.3">
      <c r="A876" s="1"/>
      <c r="B876" s="1"/>
      <c r="C876" s="4"/>
      <c r="D876" s="4"/>
      <c r="E876" s="4"/>
      <c r="F876" s="4"/>
      <c r="G876" s="4"/>
    </row>
    <row r="877" spans="1:7" ht="12.75" customHeight="1" x14ac:dyDescent="0.3">
      <c r="A877" s="1"/>
      <c r="B877" s="1"/>
      <c r="C877" s="4"/>
      <c r="D877" s="4"/>
      <c r="E877" s="4"/>
      <c r="F877" s="4"/>
      <c r="G877" s="4"/>
    </row>
    <row r="878" spans="1:7" ht="12.75" customHeight="1" x14ac:dyDescent="0.3">
      <c r="A878" s="1"/>
      <c r="B878" s="1"/>
      <c r="C878" s="4"/>
      <c r="D878" s="4"/>
      <c r="E878" s="4"/>
      <c r="F878" s="4"/>
      <c r="G878" s="4"/>
    </row>
    <row r="879" spans="1:7" ht="12.75" customHeight="1" x14ac:dyDescent="0.3">
      <c r="A879" s="1"/>
      <c r="B879" s="1"/>
      <c r="C879" s="4"/>
      <c r="D879" s="4"/>
      <c r="E879" s="4"/>
      <c r="F879" s="4"/>
      <c r="G879" s="4"/>
    </row>
    <row r="880" spans="1:7" ht="12.75" customHeight="1" x14ac:dyDescent="0.3">
      <c r="A880" s="1"/>
      <c r="B880" s="1"/>
      <c r="C880" s="4"/>
      <c r="D880" s="4"/>
      <c r="E880" s="4"/>
      <c r="F880" s="4"/>
      <c r="G880" s="4"/>
    </row>
    <row r="881" spans="1:7" ht="12.75" customHeight="1" x14ac:dyDescent="0.3">
      <c r="A881" s="1"/>
      <c r="B881" s="1"/>
      <c r="C881" s="4"/>
      <c r="D881" s="4"/>
      <c r="E881" s="4"/>
      <c r="F881" s="4"/>
      <c r="G881" s="4"/>
    </row>
    <row r="882" spans="1:7" ht="12.75" customHeight="1" x14ac:dyDescent="0.3">
      <c r="A882" s="1"/>
      <c r="B882" s="1"/>
      <c r="C882" s="4"/>
      <c r="D882" s="4"/>
      <c r="E882" s="4"/>
      <c r="F882" s="4"/>
      <c r="G882" s="4"/>
    </row>
    <row r="883" spans="1:7" ht="12.75" customHeight="1" x14ac:dyDescent="0.3">
      <c r="A883" s="1"/>
      <c r="B883" s="1"/>
      <c r="C883" s="4"/>
      <c r="D883" s="4"/>
      <c r="E883" s="4"/>
      <c r="F883" s="4"/>
      <c r="G883" s="4"/>
    </row>
    <row r="884" spans="1:7" ht="12.75" customHeight="1" x14ac:dyDescent="0.3">
      <c r="A884" s="1"/>
      <c r="B884" s="1"/>
      <c r="C884" s="4"/>
      <c r="D884" s="4"/>
      <c r="E884" s="4"/>
      <c r="F884" s="4"/>
      <c r="G884" s="4"/>
    </row>
    <row r="885" spans="1:7" ht="12.75" customHeight="1" x14ac:dyDescent="0.3">
      <c r="A885" s="1"/>
      <c r="B885" s="1"/>
      <c r="C885" s="4"/>
      <c r="D885" s="4"/>
      <c r="E885" s="4"/>
      <c r="F885" s="4"/>
      <c r="G885" s="4"/>
    </row>
    <row r="886" spans="1:7" ht="12.75" customHeight="1" x14ac:dyDescent="0.3">
      <c r="A886" s="1"/>
      <c r="B886" s="1"/>
      <c r="C886" s="4"/>
      <c r="D886" s="4"/>
      <c r="E886" s="4"/>
      <c r="F886" s="4"/>
      <c r="G886" s="4"/>
    </row>
    <row r="887" spans="1:7" ht="12.75" customHeight="1" x14ac:dyDescent="0.3">
      <c r="A887" s="1"/>
      <c r="B887" s="1"/>
      <c r="C887" s="4"/>
      <c r="D887" s="4"/>
      <c r="E887" s="4"/>
      <c r="F887" s="4"/>
      <c r="G887" s="4"/>
    </row>
    <row r="888" spans="1:7" ht="12.75" customHeight="1" x14ac:dyDescent="0.3">
      <c r="A888" s="1"/>
      <c r="B888" s="1"/>
      <c r="C888" s="4"/>
      <c r="D888" s="4"/>
      <c r="E888" s="4"/>
      <c r="F888" s="4"/>
      <c r="G888" s="4"/>
    </row>
    <row r="889" spans="1:7" ht="12.75" customHeight="1" x14ac:dyDescent="0.3">
      <c r="A889" s="1"/>
      <c r="B889" s="1"/>
      <c r="C889" s="4"/>
      <c r="D889" s="4"/>
      <c r="E889" s="4"/>
      <c r="F889" s="4"/>
      <c r="G889" s="4"/>
    </row>
    <row r="890" spans="1:7" ht="12.75" customHeight="1" x14ac:dyDescent="0.3">
      <c r="A890" s="1"/>
      <c r="B890" s="1"/>
      <c r="C890" s="4"/>
      <c r="D890" s="4"/>
      <c r="E890" s="4"/>
      <c r="F890" s="4"/>
      <c r="G890" s="4"/>
    </row>
    <row r="891" spans="1:7" ht="12.75" customHeight="1" x14ac:dyDescent="0.3">
      <c r="A891" s="1"/>
      <c r="B891" s="1"/>
      <c r="C891" s="4"/>
      <c r="D891" s="4"/>
      <c r="E891" s="4"/>
      <c r="F891" s="4"/>
      <c r="G891" s="4"/>
    </row>
    <row r="892" spans="1:7" ht="12.75" customHeight="1" x14ac:dyDescent="0.3">
      <c r="A892" s="1"/>
      <c r="B892" s="1"/>
      <c r="C892" s="4"/>
      <c r="D892" s="4"/>
      <c r="E892" s="4"/>
      <c r="F892" s="4"/>
      <c r="G892" s="4"/>
    </row>
    <row r="893" spans="1:7" ht="12.75" customHeight="1" x14ac:dyDescent="0.3">
      <c r="A893" s="1"/>
      <c r="B893" s="1"/>
      <c r="C893" s="4"/>
      <c r="D893" s="4"/>
      <c r="E893" s="4"/>
      <c r="F893" s="4"/>
      <c r="G893" s="4"/>
    </row>
    <row r="894" spans="1:7" ht="12.75" customHeight="1" x14ac:dyDescent="0.3">
      <c r="A894" s="1"/>
      <c r="B894" s="1"/>
      <c r="C894" s="4"/>
      <c r="D894" s="4"/>
      <c r="E894" s="4"/>
      <c r="F894" s="4"/>
      <c r="G894" s="4"/>
    </row>
    <row r="895" spans="1:7" ht="12.75" customHeight="1" x14ac:dyDescent="0.3">
      <c r="A895" s="1"/>
      <c r="B895" s="1"/>
      <c r="C895" s="4"/>
      <c r="D895" s="4"/>
      <c r="E895" s="4"/>
      <c r="F895" s="4"/>
      <c r="G895" s="4"/>
    </row>
    <row r="896" spans="1:7" ht="12.75" customHeight="1" x14ac:dyDescent="0.3">
      <c r="A896" s="1"/>
      <c r="B896" s="1"/>
      <c r="C896" s="4"/>
      <c r="D896" s="4"/>
      <c r="E896" s="4"/>
      <c r="F896" s="4"/>
      <c r="G896" s="4"/>
    </row>
    <row r="897" spans="1:7" ht="12.75" customHeight="1" x14ac:dyDescent="0.3">
      <c r="A897" s="1"/>
      <c r="B897" s="1"/>
      <c r="C897" s="4"/>
      <c r="D897" s="4"/>
      <c r="E897" s="4"/>
      <c r="F897" s="4"/>
      <c r="G897" s="4"/>
    </row>
    <row r="898" spans="1:7" ht="12.75" customHeight="1" x14ac:dyDescent="0.3">
      <c r="A898" s="1"/>
      <c r="B898" s="1"/>
      <c r="C898" s="4"/>
      <c r="D898" s="4"/>
      <c r="E898" s="4"/>
      <c r="F898" s="4"/>
      <c r="G898" s="4"/>
    </row>
    <row r="899" spans="1:7" ht="12.75" customHeight="1" x14ac:dyDescent="0.3">
      <c r="A899" s="1"/>
      <c r="B899" s="1"/>
      <c r="C899" s="4"/>
      <c r="D899" s="4"/>
      <c r="E899" s="4"/>
      <c r="F899" s="4"/>
      <c r="G899" s="4"/>
    </row>
    <row r="900" spans="1:7" ht="12.75" customHeight="1" x14ac:dyDescent="0.3">
      <c r="A900" s="1"/>
      <c r="B900" s="1"/>
      <c r="C900" s="4"/>
      <c r="D900" s="4"/>
      <c r="E900" s="4"/>
      <c r="F900" s="4"/>
      <c r="G900" s="4"/>
    </row>
    <row r="901" spans="1:7" ht="12.75" customHeight="1" x14ac:dyDescent="0.3">
      <c r="A901" s="1"/>
      <c r="B901" s="1"/>
      <c r="C901" s="4"/>
      <c r="D901" s="4"/>
      <c r="E901" s="4"/>
      <c r="F901" s="4"/>
      <c r="G901" s="4"/>
    </row>
    <row r="902" spans="1:7" ht="12.75" customHeight="1" x14ac:dyDescent="0.3">
      <c r="A902" s="1"/>
      <c r="B902" s="1"/>
      <c r="C902" s="4"/>
      <c r="D902" s="4"/>
      <c r="E902" s="4"/>
      <c r="F902" s="4"/>
      <c r="G902" s="4"/>
    </row>
    <row r="903" spans="1:7" ht="12.75" customHeight="1" x14ac:dyDescent="0.3">
      <c r="A903" s="1"/>
      <c r="B903" s="1"/>
      <c r="C903" s="4"/>
      <c r="D903" s="4"/>
      <c r="E903" s="4"/>
      <c r="F903" s="4"/>
      <c r="G903" s="4"/>
    </row>
    <row r="904" spans="1:7" ht="12.75" customHeight="1" x14ac:dyDescent="0.3">
      <c r="A904" s="1"/>
      <c r="B904" s="1"/>
      <c r="C904" s="4"/>
      <c r="D904" s="4"/>
      <c r="E904" s="4"/>
      <c r="F904" s="4"/>
      <c r="G904" s="4"/>
    </row>
    <row r="905" spans="1:7" ht="12.75" customHeight="1" x14ac:dyDescent="0.3">
      <c r="A905" s="1"/>
      <c r="B905" s="1"/>
      <c r="C905" s="4"/>
      <c r="D905" s="4"/>
      <c r="E905" s="4"/>
      <c r="F905" s="4"/>
      <c r="G905" s="4"/>
    </row>
    <row r="906" spans="1:7" ht="12.75" customHeight="1" x14ac:dyDescent="0.3">
      <c r="A906" s="1"/>
      <c r="B906" s="1"/>
      <c r="C906" s="4"/>
      <c r="D906" s="4"/>
      <c r="E906" s="4"/>
      <c r="F906" s="4"/>
      <c r="G906" s="4"/>
    </row>
    <row r="907" spans="1:7" ht="12.75" customHeight="1" x14ac:dyDescent="0.3">
      <c r="A907" s="1"/>
      <c r="B907" s="1"/>
      <c r="C907" s="4"/>
      <c r="D907" s="4"/>
      <c r="E907" s="4"/>
      <c r="F907" s="4"/>
      <c r="G907" s="4"/>
    </row>
    <row r="908" spans="1:7" ht="12.75" customHeight="1" x14ac:dyDescent="0.3">
      <c r="A908" s="1"/>
      <c r="B908" s="1"/>
      <c r="C908" s="4"/>
      <c r="D908" s="4"/>
      <c r="E908" s="4"/>
      <c r="F908" s="4"/>
      <c r="G908" s="4"/>
    </row>
    <row r="909" spans="1:7" ht="12.75" customHeight="1" x14ac:dyDescent="0.3">
      <c r="A909" s="1"/>
      <c r="B909" s="1"/>
      <c r="C909" s="4"/>
      <c r="D909" s="4"/>
      <c r="E909" s="4"/>
      <c r="F909" s="4"/>
      <c r="G909" s="4"/>
    </row>
    <row r="910" spans="1:7" ht="12.75" customHeight="1" x14ac:dyDescent="0.3">
      <c r="A910" s="1"/>
      <c r="B910" s="1"/>
      <c r="C910" s="4"/>
      <c r="D910" s="4"/>
      <c r="E910" s="4"/>
      <c r="F910" s="4"/>
      <c r="G910" s="4"/>
    </row>
    <row r="911" spans="1:7" ht="12.75" customHeight="1" x14ac:dyDescent="0.3">
      <c r="A911" s="1"/>
      <c r="B911" s="1"/>
      <c r="C911" s="4"/>
      <c r="D911" s="4"/>
      <c r="E911" s="4"/>
      <c r="F911" s="4"/>
      <c r="G911" s="4"/>
    </row>
    <row r="912" spans="1:7" ht="12.75" customHeight="1" x14ac:dyDescent="0.3">
      <c r="A912" s="1"/>
      <c r="B912" s="1"/>
      <c r="C912" s="4"/>
      <c r="D912" s="4"/>
      <c r="E912" s="4"/>
      <c r="F912" s="4"/>
      <c r="G912" s="4"/>
    </row>
    <row r="913" spans="1:7" ht="12.75" customHeight="1" x14ac:dyDescent="0.3">
      <c r="A913" s="1"/>
      <c r="B913" s="1"/>
      <c r="C913" s="4"/>
      <c r="D913" s="4"/>
      <c r="E913" s="4"/>
      <c r="F913" s="4"/>
      <c r="G913" s="4"/>
    </row>
    <row r="914" spans="1:7" ht="12.75" customHeight="1" x14ac:dyDescent="0.3">
      <c r="A914" s="1"/>
      <c r="B914" s="1"/>
      <c r="C914" s="4"/>
      <c r="D914" s="4"/>
      <c r="E914" s="4"/>
      <c r="F914" s="4"/>
      <c r="G914" s="4"/>
    </row>
    <row r="915" spans="1:7" ht="12.75" customHeight="1" x14ac:dyDescent="0.3">
      <c r="A915" s="1"/>
      <c r="B915" s="1"/>
      <c r="C915" s="4"/>
      <c r="D915" s="4"/>
      <c r="E915" s="4"/>
      <c r="F915" s="4"/>
      <c r="G915" s="4"/>
    </row>
    <row r="916" spans="1:7" ht="12.75" customHeight="1" x14ac:dyDescent="0.3">
      <c r="A916" s="1"/>
      <c r="B916" s="1"/>
      <c r="C916" s="4"/>
      <c r="D916" s="4"/>
      <c r="E916" s="4"/>
      <c r="F916" s="4"/>
      <c r="G916" s="4"/>
    </row>
    <row r="917" spans="1:7" ht="12.75" customHeight="1" x14ac:dyDescent="0.3">
      <c r="A917" s="1"/>
      <c r="B917" s="1"/>
      <c r="C917" s="4"/>
      <c r="D917" s="4"/>
      <c r="E917" s="4"/>
      <c r="F917" s="4"/>
      <c r="G917" s="4"/>
    </row>
    <row r="918" spans="1:7" ht="12.75" customHeight="1" x14ac:dyDescent="0.3">
      <c r="A918" s="1"/>
      <c r="B918" s="1"/>
      <c r="C918" s="4"/>
      <c r="D918" s="4"/>
      <c r="E918" s="4"/>
      <c r="F918" s="4"/>
      <c r="G918" s="4"/>
    </row>
    <row r="919" spans="1:7" ht="12.75" customHeight="1" x14ac:dyDescent="0.3">
      <c r="A919" s="1"/>
      <c r="B919" s="1"/>
      <c r="C919" s="4"/>
      <c r="D919" s="4"/>
      <c r="E919" s="4"/>
      <c r="F919" s="4"/>
      <c r="G919" s="4"/>
    </row>
    <row r="920" spans="1:7" ht="12.75" customHeight="1" x14ac:dyDescent="0.3">
      <c r="A920" s="1"/>
      <c r="B920" s="1"/>
      <c r="C920" s="4"/>
      <c r="D920" s="4"/>
      <c r="E920" s="4"/>
      <c r="F920" s="4"/>
      <c r="G920" s="4"/>
    </row>
    <row r="921" spans="1:7" ht="12.75" customHeight="1" x14ac:dyDescent="0.3">
      <c r="A921" s="1"/>
      <c r="B921" s="1"/>
      <c r="C921" s="4"/>
      <c r="D921" s="4"/>
      <c r="E921" s="4"/>
      <c r="F921" s="4"/>
      <c r="G921" s="4"/>
    </row>
    <row r="922" spans="1:7" ht="12.75" customHeight="1" x14ac:dyDescent="0.3">
      <c r="A922" s="1"/>
      <c r="B922" s="1"/>
      <c r="C922" s="4"/>
      <c r="D922" s="4"/>
      <c r="E922" s="4"/>
      <c r="F922" s="4"/>
      <c r="G922" s="4"/>
    </row>
    <row r="923" spans="1:7" ht="12.75" customHeight="1" x14ac:dyDescent="0.3">
      <c r="A923" s="1"/>
      <c r="B923" s="1"/>
      <c r="C923" s="4"/>
      <c r="D923" s="4"/>
      <c r="E923" s="4"/>
      <c r="F923" s="4"/>
      <c r="G923" s="4"/>
    </row>
    <row r="924" spans="1:7" ht="12.75" customHeight="1" x14ac:dyDescent="0.3">
      <c r="A924" s="1"/>
      <c r="B924" s="1"/>
      <c r="C924" s="4"/>
      <c r="D924" s="4"/>
      <c r="E924" s="4"/>
      <c r="F924" s="4"/>
      <c r="G924" s="4"/>
    </row>
    <row r="925" spans="1:7" ht="12.75" customHeight="1" x14ac:dyDescent="0.3">
      <c r="A925" s="1"/>
      <c r="B925" s="1"/>
      <c r="C925" s="4"/>
      <c r="D925" s="4"/>
      <c r="E925" s="4"/>
      <c r="F925" s="4"/>
      <c r="G925" s="4"/>
    </row>
    <row r="926" spans="1:7" ht="12.75" customHeight="1" x14ac:dyDescent="0.3">
      <c r="A926" s="1"/>
      <c r="B926" s="1"/>
      <c r="C926" s="4"/>
      <c r="D926" s="4"/>
      <c r="E926" s="4"/>
      <c r="F926" s="4"/>
      <c r="G926" s="4"/>
    </row>
    <row r="927" spans="1:7" ht="12.75" customHeight="1" x14ac:dyDescent="0.3">
      <c r="A927" s="1"/>
      <c r="B927" s="1"/>
      <c r="C927" s="4"/>
      <c r="D927" s="4"/>
      <c r="E927" s="4"/>
      <c r="F927" s="4"/>
      <c r="G927" s="4"/>
    </row>
    <row r="928" spans="1:7" ht="12.75" customHeight="1" x14ac:dyDescent="0.3">
      <c r="A928" s="1"/>
      <c r="B928" s="1"/>
      <c r="C928" s="4"/>
      <c r="D928" s="4"/>
      <c r="E928" s="4"/>
      <c r="F928" s="4"/>
      <c r="G928" s="4"/>
    </row>
    <row r="929" spans="1:7" ht="12.75" customHeight="1" x14ac:dyDescent="0.3">
      <c r="A929" s="1"/>
      <c r="B929" s="1"/>
      <c r="C929" s="4"/>
      <c r="D929" s="4"/>
      <c r="E929" s="4"/>
      <c r="F929" s="4"/>
      <c r="G929" s="4"/>
    </row>
    <row r="930" spans="1:7" ht="12.75" customHeight="1" x14ac:dyDescent="0.3">
      <c r="A930" s="1"/>
      <c r="B930" s="1"/>
      <c r="C930" s="4"/>
      <c r="D930" s="4"/>
      <c r="E930" s="4"/>
      <c r="F930" s="4"/>
      <c r="G930" s="4"/>
    </row>
    <row r="931" spans="1:7" ht="12.75" customHeight="1" x14ac:dyDescent="0.3">
      <c r="A931" s="1"/>
      <c r="B931" s="1"/>
      <c r="C931" s="4"/>
      <c r="D931" s="4"/>
      <c r="E931" s="4"/>
      <c r="F931" s="4"/>
      <c r="G931" s="4"/>
    </row>
    <row r="932" spans="1:7" ht="12.75" customHeight="1" x14ac:dyDescent="0.3">
      <c r="A932" s="1"/>
      <c r="B932" s="1"/>
      <c r="C932" s="4"/>
      <c r="D932" s="4"/>
      <c r="E932" s="4"/>
      <c r="F932" s="4"/>
      <c r="G932" s="4"/>
    </row>
    <row r="933" spans="1:7" ht="12.75" customHeight="1" x14ac:dyDescent="0.3">
      <c r="A933" s="1"/>
      <c r="B933" s="1"/>
      <c r="C933" s="4"/>
      <c r="D933" s="4"/>
      <c r="E933" s="4"/>
      <c r="F933" s="4"/>
      <c r="G933" s="4"/>
    </row>
    <row r="934" spans="1:7" ht="12.75" customHeight="1" x14ac:dyDescent="0.3">
      <c r="A934" s="1"/>
      <c r="B934" s="1"/>
      <c r="C934" s="4"/>
      <c r="D934" s="4"/>
      <c r="E934" s="4"/>
      <c r="F934" s="4"/>
      <c r="G934" s="4"/>
    </row>
    <row r="935" spans="1:7" ht="12.75" customHeight="1" x14ac:dyDescent="0.3">
      <c r="A935" s="1"/>
      <c r="B935" s="1"/>
      <c r="C935" s="4"/>
      <c r="D935" s="4"/>
      <c r="E935" s="4"/>
      <c r="F935" s="4"/>
      <c r="G935" s="4"/>
    </row>
    <row r="936" spans="1:7" ht="12.75" customHeight="1" x14ac:dyDescent="0.3">
      <c r="A936" s="1"/>
      <c r="B936" s="1"/>
      <c r="C936" s="4"/>
      <c r="D936" s="4"/>
      <c r="E936" s="4"/>
      <c r="F936" s="4"/>
      <c r="G936" s="4"/>
    </row>
    <row r="937" spans="1:7" ht="12.75" customHeight="1" x14ac:dyDescent="0.3">
      <c r="A937" s="1"/>
      <c r="B937" s="1"/>
      <c r="C937" s="4"/>
      <c r="D937" s="4"/>
      <c r="E937" s="4"/>
      <c r="F937" s="4"/>
      <c r="G937" s="4"/>
    </row>
    <row r="938" spans="1:7" ht="12.75" customHeight="1" x14ac:dyDescent="0.3">
      <c r="A938" s="1"/>
      <c r="B938" s="1"/>
      <c r="C938" s="4"/>
      <c r="D938" s="4"/>
      <c r="E938" s="4"/>
      <c r="F938" s="4"/>
      <c r="G938" s="4"/>
    </row>
    <row r="939" spans="1:7" ht="12.75" customHeight="1" x14ac:dyDescent="0.3">
      <c r="A939" s="1"/>
      <c r="B939" s="1"/>
      <c r="C939" s="4"/>
      <c r="D939" s="4"/>
      <c r="E939" s="4"/>
      <c r="F939" s="4"/>
      <c r="G939" s="4"/>
    </row>
    <row r="940" spans="1:7" ht="12.75" customHeight="1" x14ac:dyDescent="0.3">
      <c r="A940" s="1"/>
      <c r="B940" s="1"/>
      <c r="C940" s="4"/>
      <c r="D940" s="4"/>
      <c r="E940" s="4"/>
      <c r="F940" s="4"/>
      <c r="G940" s="4"/>
    </row>
    <row r="941" spans="1:7" ht="12.75" customHeight="1" x14ac:dyDescent="0.3">
      <c r="A941" s="1"/>
      <c r="B941" s="1"/>
      <c r="C941" s="4"/>
      <c r="D941" s="4"/>
      <c r="E941" s="4"/>
      <c r="F941" s="4"/>
      <c r="G941" s="4"/>
    </row>
    <row r="942" spans="1:7" ht="12.75" customHeight="1" x14ac:dyDescent="0.3">
      <c r="A942" s="1"/>
      <c r="B942" s="1"/>
      <c r="C942" s="4"/>
      <c r="D942" s="4"/>
      <c r="E942" s="4"/>
      <c r="F942" s="4"/>
      <c r="G942" s="4"/>
    </row>
    <row r="943" spans="1:7" ht="12.75" customHeight="1" x14ac:dyDescent="0.3">
      <c r="A943" s="1"/>
      <c r="B943" s="1"/>
      <c r="C943" s="4"/>
      <c r="D943" s="4"/>
      <c r="E943" s="4"/>
      <c r="F943" s="4"/>
      <c r="G943" s="4"/>
    </row>
    <row r="944" spans="1:7" ht="12.75" customHeight="1" x14ac:dyDescent="0.3">
      <c r="A944" s="1"/>
      <c r="B944" s="1"/>
      <c r="C944" s="4"/>
      <c r="D944" s="4"/>
      <c r="E944" s="4"/>
      <c r="F944" s="4"/>
      <c r="G944" s="4"/>
    </row>
    <row r="945" spans="1:7" ht="12.75" customHeight="1" x14ac:dyDescent="0.3">
      <c r="A945" s="1"/>
      <c r="B945" s="1"/>
      <c r="C945" s="4"/>
      <c r="D945" s="4"/>
      <c r="E945" s="4"/>
      <c r="F945" s="4"/>
      <c r="G945" s="4"/>
    </row>
    <row r="946" spans="1:7" ht="12.75" customHeight="1" x14ac:dyDescent="0.3">
      <c r="A946" s="1"/>
      <c r="B946" s="1"/>
      <c r="C946" s="4"/>
      <c r="D946" s="4"/>
      <c r="E946" s="4"/>
      <c r="F946" s="4"/>
      <c r="G946" s="4"/>
    </row>
    <row r="947" spans="1:7" ht="12.75" customHeight="1" x14ac:dyDescent="0.3">
      <c r="A947" s="1"/>
      <c r="B947" s="1"/>
      <c r="C947" s="4"/>
      <c r="D947" s="4"/>
      <c r="E947" s="4"/>
      <c r="F947" s="4"/>
      <c r="G947" s="4"/>
    </row>
    <row r="948" spans="1:7" ht="12.75" customHeight="1" x14ac:dyDescent="0.3">
      <c r="A948" s="1"/>
      <c r="B948" s="1"/>
      <c r="C948" s="4"/>
      <c r="D948" s="4"/>
      <c r="E948" s="4"/>
      <c r="F948" s="4"/>
      <c r="G948" s="4"/>
    </row>
    <row r="949" spans="1:7" ht="12.75" customHeight="1" x14ac:dyDescent="0.3">
      <c r="A949" s="1"/>
      <c r="B949" s="1"/>
      <c r="C949" s="4"/>
      <c r="D949" s="4"/>
      <c r="E949" s="4"/>
      <c r="F949" s="4"/>
      <c r="G949" s="4"/>
    </row>
    <row r="950" spans="1:7" ht="12.75" customHeight="1" x14ac:dyDescent="0.3">
      <c r="A950" s="1"/>
      <c r="B950" s="1"/>
      <c r="C950" s="4"/>
      <c r="D950" s="4"/>
      <c r="E950" s="4"/>
      <c r="F950" s="4"/>
      <c r="G950" s="4"/>
    </row>
    <row r="951" spans="1:7" ht="12.75" customHeight="1" x14ac:dyDescent="0.3">
      <c r="A951" s="1"/>
      <c r="B951" s="1"/>
      <c r="C951" s="4"/>
      <c r="D951" s="4"/>
      <c r="E951" s="4"/>
      <c r="F951" s="4"/>
      <c r="G951" s="4"/>
    </row>
    <row r="952" spans="1:7" ht="12.75" customHeight="1" x14ac:dyDescent="0.3">
      <c r="A952" s="1"/>
      <c r="B952" s="1"/>
      <c r="C952" s="4"/>
      <c r="D952" s="4"/>
      <c r="E952" s="4"/>
      <c r="F952" s="4"/>
      <c r="G952" s="4"/>
    </row>
    <row r="953" spans="1:7" ht="12.75" customHeight="1" x14ac:dyDescent="0.3">
      <c r="A953" s="1"/>
      <c r="B953" s="1"/>
      <c r="C953" s="4"/>
      <c r="D953" s="4"/>
      <c r="E953" s="4"/>
      <c r="F953" s="4"/>
      <c r="G953" s="4"/>
    </row>
    <row r="954" spans="1:7" ht="12.75" customHeight="1" x14ac:dyDescent="0.3">
      <c r="A954" s="1"/>
      <c r="B954" s="1"/>
      <c r="C954" s="4"/>
      <c r="D954" s="4"/>
      <c r="E954" s="4"/>
      <c r="F954" s="4"/>
      <c r="G954" s="4"/>
    </row>
    <row r="955" spans="1:7" ht="12.75" customHeight="1" x14ac:dyDescent="0.3">
      <c r="A955" s="1"/>
      <c r="B955" s="1"/>
      <c r="C955" s="4"/>
      <c r="D955" s="4"/>
      <c r="E955" s="4"/>
      <c r="F955" s="4"/>
      <c r="G955" s="4"/>
    </row>
    <row r="956" spans="1:7" ht="12.75" customHeight="1" x14ac:dyDescent="0.3">
      <c r="A956" s="1"/>
      <c r="B956" s="1"/>
      <c r="C956" s="4"/>
      <c r="D956" s="4"/>
      <c r="E956" s="4"/>
      <c r="F956" s="4"/>
      <c r="G956" s="4"/>
    </row>
    <row r="957" spans="1:7" ht="12.75" customHeight="1" x14ac:dyDescent="0.3">
      <c r="A957" s="1"/>
      <c r="B957" s="1"/>
      <c r="C957" s="4"/>
      <c r="D957" s="4"/>
      <c r="E957" s="4"/>
      <c r="F957" s="4"/>
      <c r="G957" s="4"/>
    </row>
    <row r="958" spans="1:7" ht="12.75" customHeight="1" x14ac:dyDescent="0.3">
      <c r="A958" s="1"/>
      <c r="B958" s="1"/>
      <c r="C958" s="4"/>
      <c r="D958" s="4"/>
      <c r="E958" s="4"/>
      <c r="F958" s="4"/>
      <c r="G958" s="4"/>
    </row>
    <row r="959" spans="1:7" ht="12.75" customHeight="1" x14ac:dyDescent="0.3">
      <c r="A959" s="1"/>
      <c r="B959" s="1"/>
      <c r="C959" s="4"/>
      <c r="D959" s="4"/>
      <c r="E959" s="4"/>
      <c r="F959" s="4"/>
      <c r="G959" s="4"/>
    </row>
    <row r="960" spans="1:7" ht="12.75" customHeight="1" x14ac:dyDescent="0.3">
      <c r="A960" s="1"/>
      <c r="B960" s="1"/>
      <c r="C960" s="4"/>
      <c r="D960" s="4"/>
      <c r="E960" s="4"/>
      <c r="F960" s="4"/>
      <c r="G960" s="4"/>
    </row>
    <row r="961" spans="1:7" ht="12.75" customHeight="1" x14ac:dyDescent="0.3">
      <c r="A961" s="1"/>
      <c r="B961" s="1"/>
      <c r="C961" s="4"/>
      <c r="D961" s="4"/>
      <c r="E961" s="4"/>
      <c r="F961" s="4"/>
      <c r="G961" s="4"/>
    </row>
    <row r="962" spans="1:7" ht="12.75" customHeight="1" x14ac:dyDescent="0.3">
      <c r="A962" s="1"/>
      <c r="B962" s="1"/>
      <c r="C962" s="4"/>
      <c r="D962" s="4"/>
      <c r="E962" s="4"/>
      <c r="F962" s="4"/>
      <c r="G962" s="4"/>
    </row>
    <row r="963" spans="1:7" ht="12.75" customHeight="1" x14ac:dyDescent="0.3">
      <c r="A963" s="1"/>
      <c r="B963" s="1"/>
      <c r="C963" s="4"/>
      <c r="D963" s="4"/>
      <c r="E963" s="4"/>
      <c r="F963" s="4"/>
      <c r="G963" s="4"/>
    </row>
    <row r="964" spans="1:7" ht="12.75" customHeight="1" x14ac:dyDescent="0.3">
      <c r="A964" s="1"/>
      <c r="B964" s="1"/>
      <c r="C964" s="4"/>
      <c r="D964" s="4"/>
      <c r="E964" s="4"/>
      <c r="F964" s="4"/>
      <c r="G964" s="4"/>
    </row>
    <row r="965" spans="1:7" ht="12.75" customHeight="1" x14ac:dyDescent="0.3">
      <c r="A965" s="1"/>
      <c r="B965" s="1"/>
      <c r="C965" s="4"/>
      <c r="D965" s="4"/>
      <c r="E965" s="4"/>
      <c r="F965" s="4"/>
      <c r="G965" s="4"/>
    </row>
    <row r="966" spans="1:7" ht="12.75" customHeight="1" x14ac:dyDescent="0.3">
      <c r="A966" s="1"/>
      <c r="B966" s="1"/>
      <c r="C966" s="4"/>
      <c r="D966" s="4"/>
      <c r="E966" s="4"/>
      <c r="F966" s="4"/>
      <c r="G966" s="4"/>
    </row>
    <row r="967" spans="1:7" ht="12.75" customHeight="1" x14ac:dyDescent="0.3">
      <c r="A967" s="1"/>
      <c r="B967" s="1"/>
      <c r="C967" s="4"/>
      <c r="D967" s="4"/>
      <c r="E967" s="4"/>
      <c r="F967" s="4"/>
      <c r="G967" s="4"/>
    </row>
    <row r="968" spans="1:7" ht="12.75" customHeight="1" x14ac:dyDescent="0.3">
      <c r="A968" s="1"/>
      <c r="B968" s="1"/>
      <c r="C968" s="4"/>
      <c r="D968" s="4"/>
      <c r="E968" s="4"/>
      <c r="F968" s="4"/>
      <c r="G968" s="4"/>
    </row>
    <row r="969" spans="1:7" ht="12.75" customHeight="1" x14ac:dyDescent="0.3">
      <c r="A969" s="1"/>
      <c r="B969" s="1"/>
      <c r="C969" s="4"/>
      <c r="D969" s="4"/>
      <c r="E969" s="4"/>
      <c r="F969" s="4"/>
      <c r="G969" s="4"/>
    </row>
    <row r="970" spans="1:7" ht="12.75" customHeight="1" x14ac:dyDescent="0.3">
      <c r="A970" s="1"/>
      <c r="B970" s="1"/>
      <c r="C970" s="4"/>
      <c r="D970" s="4"/>
      <c r="E970" s="4"/>
      <c r="F970" s="4"/>
      <c r="G970" s="4"/>
    </row>
    <row r="971" spans="1:7" ht="12.75" customHeight="1" x14ac:dyDescent="0.3">
      <c r="A971" s="1"/>
      <c r="B971" s="1"/>
      <c r="C971" s="4"/>
      <c r="D971" s="4"/>
      <c r="E971" s="4"/>
      <c r="F971" s="4"/>
      <c r="G971" s="4"/>
    </row>
    <row r="972" spans="1:7" ht="12.75" customHeight="1" x14ac:dyDescent="0.3">
      <c r="A972" s="1"/>
      <c r="B972" s="1"/>
      <c r="C972" s="4"/>
      <c r="D972" s="4"/>
      <c r="E972" s="4"/>
      <c r="F972" s="4"/>
      <c r="G972" s="4"/>
    </row>
    <row r="973" spans="1:7" ht="12.75" customHeight="1" x14ac:dyDescent="0.3">
      <c r="A973" s="1"/>
      <c r="B973" s="1"/>
      <c r="C973" s="4"/>
      <c r="D973" s="4"/>
      <c r="E973" s="4"/>
      <c r="F973" s="4"/>
      <c r="G973" s="4"/>
    </row>
    <row r="974" spans="1:7" ht="12.75" customHeight="1" x14ac:dyDescent="0.3">
      <c r="A974" s="1"/>
      <c r="B974" s="1"/>
      <c r="C974" s="4"/>
      <c r="D974" s="4"/>
      <c r="E974" s="4"/>
      <c r="F974" s="4"/>
      <c r="G974" s="4"/>
    </row>
    <row r="975" spans="1:7" ht="12.75" customHeight="1" x14ac:dyDescent="0.3">
      <c r="A975" s="1"/>
      <c r="B975" s="1"/>
      <c r="C975" s="4"/>
      <c r="D975" s="4"/>
      <c r="E975" s="4"/>
      <c r="F975" s="4"/>
      <c r="G975" s="4"/>
    </row>
    <row r="976" spans="1:7" ht="12.75" customHeight="1" x14ac:dyDescent="0.3">
      <c r="A976" s="1"/>
      <c r="B976" s="1"/>
      <c r="C976" s="4"/>
      <c r="D976" s="4"/>
      <c r="E976" s="4"/>
      <c r="F976" s="4"/>
      <c r="G976" s="4"/>
    </row>
    <row r="977" spans="1:7" ht="12.75" customHeight="1" x14ac:dyDescent="0.3">
      <c r="A977" s="1"/>
      <c r="B977" s="1"/>
      <c r="C977" s="4"/>
      <c r="D977" s="4"/>
      <c r="E977" s="4"/>
      <c r="F977" s="4"/>
      <c r="G977" s="4"/>
    </row>
    <row r="978" spans="1:7" ht="12.75" customHeight="1" x14ac:dyDescent="0.3">
      <c r="A978" s="1"/>
      <c r="B978" s="1"/>
      <c r="C978" s="4"/>
      <c r="D978" s="4"/>
      <c r="E978" s="4"/>
      <c r="F978" s="4"/>
      <c r="G978" s="4"/>
    </row>
    <row r="979" spans="1:7" ht="12.75" customHeight="1" x14ac:dyDescent="0.3">
      <c r="A979" s="1"/>
      <c r="B979" s="1"/>
      <c r="C979" s="4"/>
      <c r="D979" s="4"/>
      <c r="E979" s="4"/>
      <c r="F979" s="4"/>
      <c r="G979" s="4"/>
    </row>
    <row r="980" spans="1:7" ht="12.75" customHeight="1" x14ac:dyDescent="0.3">
      <c r="A980" s="1"/>
      <c r="B980" s="1"/>
      <c r="C980" s="4"/>
      <c r="D980" s="4"/>
      <c r="E980" s="4"/>
      <c r="F980" s="4"/>
      <c r="G980" s="4"/>
    </row>
    <row r="981" spans="1:7" ht="12.75" customHeight="1" x14ac:dyDescent="0.3">
      <c r="A981" s="1"/>
      <c r="B981" s="1"/>
      <c r="C981" s="4"/>
      <c r="D981" s="4"/>
      <c r="E981" s="4"/>
      <c r="F981" s="4"/>
      <c r="G981" s="4"/>
    </row>
    <row r="982" spans="1:7" ht="12.75" customHeight="1" x14ac:dyDescent="0.3">
      <c r="A982" s="1"/>
      <c r="B982" s="1"/>
      <c r="C982" s="4"/>
      <c r="D982" s="4"/>
      <c r="E982" s="4"/>
      <c r="F982" s="4"/>
      <c r="G982" s="4"/>
    </row>
    <row r="983" spans="1:7" ht="12.75" customHeight="1" x14ac:dyDescent="0.3">
      <c r="A983" s="1"/>
      <c r="B983" s="1"/>
      <c r="C983" s="4"/>
      <c r="D983" s="4"/>
      <c r="E983" s="4"/>
      <c r="F983" s="4"/>
      <c r="G983" s="4"/>
    </row>
    <row r="984" spans="1:7" ht="12.75" customHeight="1" x14ac:dyDescent="0.3">
      <c r="A984" s="1"/>
      <c r="B984" s="1"/>
      <c r="C984" s="4"/>
      <c r="D984" s="4"/>
      <c r="E984" s="4"/>
      <c r="F984" s="4"/>
      <c r="G984" s="4"/>
    </row>
    <row r="985" spans="1:7" ht="12.75" customHeight="1" x14ac:dyDescent="0.3">
      <c r="A985" s="1"/>
      <c r="B985" s="1"/>
      <c r="C985" s="4"/>
      <c r="D985" s="4"/>
      <c r="E985" s="4"/>
      <c r="F985" s="4"/>
      <c r="G985" s="4"/>
    </row>
    <row r="986" spans="1:7" ht="12.75" customHeight="1" x14ac:dyDescent="0.3">
      <c r="A986" s="1"/>
      <c r="B986" s="1"/>
      <c r="C986" s="4"/>
      <c r="D986" s="4"/>
      <c r="E986" s="4"/>
      <c r="F986" s="4"/>
      <c r="G986" s="4"/>
    </row>
    <row r="987" spans="1:7" ht="12.75" customHeight="1" x14ac:dyDescent="0.3">
      <c r="A987" s="1"/>
      <c r="B987" s="1"/>
      <c r="C987" s="4"/>
      <c r="D987" s="4"/>
      <c r="E987" s="4"/>
      <c r="F987" s="4"/>
      <c r="G987" s="4"/>
    </row>
    <row r="988" spans="1:7" ht="12.75" customHeight="1" x14ac:dyDescent="0.3">
      <c r="A988" s="1"/>
      <c r="B988" s="1"/>
      <c r="C988" s="4"/>
      <c r="D988" s="4"/>
      <c r="E988" s="4"/>
      <c r="F988" s="4"/>
      <c r="G988" s="4"/>
    </row>
    <row r="989" spans="1:7" ht="12.75" customHeight="1" x14ac:dyDescent="0.3">
      <c r="A989" s="1"/>
      <c r="B989" s="1"/>
      <c r="C989" s="4"/>
      <c r="D989" s="4"/>
      <c r="E989" s="4"/>
      <c r="F989" s="4"/>
      <c r="G989" s="4"/>
    </row>
    <row r="990" spans="1:7" ht="12.75" customHeight="1" x14ac:dyDescent="0.3">
      <c r="A990" s="1"/>
      <c r="B990" s="1"/>
      <c r="C990" s="4"/>
      <c r="D990" s="4"/>
      <c r="E990" s="4"/>
      <c r="F990" s="4"/>
      <c r="G990" s="4"/>
    </row>
    <row r="991" spans="1:7" ht="12.75" customHeight="1" x14ac:dyDescent="0.3">
      <c r="A991" s="1"/>
      <c r="B991" s="1"/>
      <c r="C991" s="4"/>
      <c r="D991" s="4"/>
      <c r="E991" s="4"/>
      <c r="F991" s="4"/>
      <c r="G991" s="4"/>
    </row>
    <row r="992" spans="1:7" ht="12.75" customHeight="1" x14ac:dyDescent="0.3">
      <c r="A992" s="1"/>
      <c r="B992" s="1"/>
      <c r="C992" s="4"/>
      <c r="D992" s="4"/>
      <c r="E992" s="4"/>
      <c r="F992" s="4"/>
      <c r="G992" s="4"/>
    </row>
    <row r="993" spans="1:7" ht="12.75" customHeight="1" x14ac:dyDescent="0.3">
      <c r="A993" s="1"/>
      <c r="B993" s="1"/>
      <c r="C993" s="4"/>
      <c r="D993" s="4"/>
      <c r="E993" s="4"/>
      <c r="F993" s="4"/>
      <c r="G993" s="4"/>
    </row>
    <row r="994" spans="1:7" ht="12.75" customHeight="1" x14ac:dyDescent="0.3">
      <c r="A994" s="1"/>
      <c r="B994" s="1"/>
      <c r="C994" s="4"/>
      <c r="D994" s="4"/>
      <c r="E994" s="4"/>
      <c r="F994" s="4"/>
      <c r="G994" s="4"/>
    </row>
    <row r="995" spans="1:7" ht="12.75" customHeight="1" x14ac:dyDescent="0.3">
      <c r="A995" s="1"/>
      <c r="B995" s="1"/>
      <c r="C995" s="4"/>
      <c r="D995" s="4"/>
      <c r="E995" s="4"/>
      <c r="F995" s="4"/>
      <c r="G995" s="4"/>
    </row>
    <row r="996" spans="1:7" ht="12.75" customHeight="1" x14ac:dyDescent="0.3">
      <c r="A996" s="1"/>
      <c r="B996" s="1"/>
      <c r="C996" s="4"/>
      <c r="D996" s="4"/>
      <c r="E996" s="4"/>
      <c r="F996" s="4"/>
      <c r="G996" s="4"/>
    </row>
    <row r="997" spans="1:7" ht="12.75" customHeight="1" x14ac:dyDescent="0.3">
      <c r="A997" s="1"/>
      <c r="B997" s="1"/>
      <c r="C997" s="4"/>
      <c r="D997" s="4"/>
      <c r="E997" s="4"/>
      <c r="F997" s="4"/>
      <c r="G997" s="4"/>
    </row>
    <row r="998" spans="1:7" ht="12.75" customHeight="1" x14ac:dyDescent="0.3">
      <c r="A998" s="1"/>
      <c r="B998" s="1"/>
      <c r="C998" s="4"/>
      <c r="D998" s="4"/>
      <c r="E998" s="4"/>
      <c r="F998" s="4"/>
      <c r="G998" s="4"/>
    </row>
    <row r="999" spans="1:7" ht="12.75" customHeight="1" x14ac:dyDescent="0.3">
      <c r="A999" s="1"/>
      <c r="B999" s="1"/>
      <c r="C999" s="4"/>
      <c r="D999" s="4"/>
      <c r="E999" s="4"/>
      <c r="F999" s="4"/>
      <c r="G999" s="4"/>
    </row>
    <row r="1000" spans="1:7" ht="12.75" customHeight="1" x14ac:dyDescent="0.3">
      <c r="A1000" s="1"/>
      <c r="B1000" s="1"/>
      <c r="C1000" s="4"/>
      <c r="D1000" s="4"/>
      <c r="E1000" s="4"/>
      <c r="F1000" s="4"/>
      <c r="G1000" s="4"/>
    </row>
    <row r="1001" spans="1:7" ht="12.75" customHeight="1" x14ac:dyDescent="0.3">
      <c r="A1001" s="1"/>
      <c r="B1001" s="1"/>
      <c r="C1001" s="4"/>
      <c r="D1001" s="4"/>
      <c r="E1001" s="4"/>
      <c r="F1001" s="4"/>
      <c r="G1001" s="4"/>
    </row>
  </sheetData>
  <mergeCells count="1">
    <mergeCell ref="B9:C9"/>
  </mergeCells>
  <phoneticPr fontId="119" type="noConversion"/>
  <pageMargins left="0.39370078740157483" right="0.39370078740157483" top="0.98425196850393704" bottom="0.98425196850393704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4F13-5989-4627-9079-A9E3F6FB8BCE}">
  <dimension ref="A1:AE193"/>
  <sheetViews>
    <sheetView showGridLines="0" zoomScale="70" zoomScaleNormal="70" workbookViewId="0">
      <selection activeCell="H98" sqref="H98"/>
    </sheetView>
  </sheetViews>
  <sheetFormatPr baseColWidth="10" defaultColWidth="8.61328125" defaultRowHeight="21.65" customHeight="1" x14ac:dyDescent="0.35"/>
  <cols>
    <col min="1" max="1" width="2.4609375" style="254" bestFit="1" customWidth="1"/>
    <col min="2" max="2" width="56.4609375" style="253" bestFit="1" customWidth="1"/>
    <col min="3" max="3" width="5.84375" style="253" bestFit="1" customWidth="1"/>
    <col min="4" max="4" width="2.84375" style="253" customWidth="1"/>
    <col min="5" max="5" width="26.3828125" style="253" bestFit="1" customWidth="1"/>
    <col min="6" max="6" width="26.61328125" style="253" bestFit="1" customWidth="1"/>
    <col min="7" max="7" width="7.3828125" style="253" bestFit="1" customWidth="1"/>
    <col min="8" max="8" width="23.15234375" style="253" bestFit="1" customWidth="1"/>
    <col min="9" max="9" width="5.84375" style="253" bestFit="1" customWidth="1"/>
    <col min="10" max="10" width="8.15234375" style="253" bestFit="1" customWidth="1"/>
    <col min="11" max="11" width="33.61328125" style="253" bestFit="1" customWidth="1"/>
    <col min="12" max="12" width="16.4609375" style="253" customWidth="1"/>
    <col min="13" max="13" width="14.4609375" style="253" bestFit="1" customWidth="1"/>
    <col min="14" max="15" width="15.61328125" style="253" bestFit="1" customWidth="1"/>
    <col min="16" max="16" width="24.84375" style="253" bestFit="1" customWidth="1"/>
    <col min="17" max="17" width="69.15234375" style="253" bestFit="1" customWidth="1"/>
    <col min="18" max="18" width="12.15234375" style="253" bestFit="1" customWidth="1"/>
    <col min="19" max="19" width="12.3828125" style="253" bestFit="1" customWidth="1"/>
    <col min="20" max="20" width="24.84375" style="253" bestFit="1" customWidth="1"/>
    <col min="21" max="21" width="11.15234375" style="253" bestFit="1" customWidth="1"/>
    <col min="22" max="22" width="17.61328125" style="253" bestFit="1" customWidth="1"/>
    <col min="23" max="32" width="8.61328125" style="253" customWidth="1"/>
    <col min="33" max="16384" width="8.61328125" style="253"/>
  </cols>
  <sheetData>
    <row r="1" spans="1:31" s="281" customFormat="1" ht="16" customHeight="1" x14ac:dyDescent="0.4">
      <c r="A1" s="288"/>
      <c r="B1" s="286"/>
      <c r="C1" s="286"/>
      <c r="D1" s="286"/>
      <c r="E1" s="286"/>
      <c r="F1" s="286"/>
      <c r="G1" s="286"/>
      <c r="H1" s="286"/>
      <c r="I1" s="286"/>
      <c r="J1" s="286"/>
      <c r="K1" s="287">
        <v>2024</v>
      </c>
      <c r="L1" s="287">
        <v>2025</v>
      </c>
      <c r="M1" s="287">
        <f>L1+1</f>
        <v>2026</v>
      </c>
      <c r="N1" s="287">
        <f>M1+1</f>
        <v>2027</v>
      </c>
      <c r="O1" s="287">
        <f>N1+1</f>
        <v>2028</v>
      </c>
      <c r="P1" s="286"/>
      <c r="Q1" s="286"/>
      <c r="R1" s="286"/>
      <c r="S1" s="286"/>
      <c r="T1" s="286"/>
      <c r="U1" s="286"/>
      <c r="V1" s="285"/>
      <c r="W1" s="284"/>
      <c r="X1" s="283"/>
      <c r="Y1" s="283"/>
      <c r="Z1" s="283"/>
      <c r="AA1" s="283"/>
      <c r="AB1" s="283"/>
      <c r="AC1" s="283"/>
      <c r="AD1" s="283"/>
      <c r="AE1" s="282"/>
    </row>
    <row r="2" spans="1:31" s="274" customFormat="1" ht="16" customHeight="1" x14ac:dyDescent="0.35">
      <c r="A2" s="262"/>
      <c r="B2" s="280" t="s">
        <v>826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8"/>
      <c r="W2" s="277"/>
      <c r="X2" s="276"/>
      <c r="Y2" s="276"/>
      <c r="Z2" s="276"/>
      <c r="AA2" s="276"/>
      <c r="AB2" s="276"/>
      <c r="AC2" s="276"/>
      <c r="AD2" s="276"/>
      <c r="AE2" s="275"/>
    </row>
    <row r="3" spans="1:31" ht="16" customHeight="1" x14ac:dyDescent="0.35">
      <c r="A3" s="262"/>
      <c r="B3" s="264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61"/>
      <c r="W3" s="260"/>
      <c r="X3" s="256"/>
      <c r="Y3" s="256"/>
      <c r="Z3" s="256"/>
      <c r="AA3" s="256"/>
      <c r="AB3" s="256"/>
      <c r="AC3" s="256"/>
      <c r="AD3" s="256"/>
      <c r="AE3" s="259"/>
    </row>
    <row r="4" spans="1:31" s="462" customFormat="1" ht="16" customHeight="1" x14ac:dyDescent="0.35">
      <c r="A4" s="454"/>
      <c r="B4" s="455" t="s">
        <v>827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65" t="s">
        <v>732</v>
      </c>
      <c r="R4" s="456"/>
      <c r="S4" s="456"/>
      <c r="T4" s="456"/>
      <c r="U4" s="456"/>
      <c r="V4" s="458"/>
      <c r="W4" s="459"/>
      <c r="X4" s="460"/>
      <c r="Y4" s="460"/>
      <c r="Z4" s="460"/>
      <c r="AA4" s="460"/>
      <c r="AB4" s="460"/>
      <c r="AC4" s="460"/>
      <c r="AD4" s="460"/>
      <c r="AE4" s="461"/>
    </row>
    <row r="5" spans="1:31" s="462" customFormat="1" ht="16" hidden="1" customHeight="1" x14ac:dyDescent="0.35">
      <c r="A5" s="454"/>
      <c r="B5" s="465" t="s">
        <v>731</v>
      </c>
      <c r="C5" s="456"/>
      <c r="D5" s="456"/>
      <c r="E5" s="465" t="s">
        <v>730</v>
      </c>
      <c r="F5" s="456"/>
      <c r="G5" s="456"/>
      <c r="H5" s="456"/>
      <c r="I5" s="456"/>
      <c r="J5" s="456"/>
      <c r="K5" s="466">
        <v>6</v>
      </c>
      <c r="L5" s="466">
        <v>10</v>
      </c>
      <c r="M5" s="466">
        <v>16</v>
      </c>
      <c r="N5" s="466">
        <v>24</v>
      </c>
      <c r="O5" s="466">
        <v>32</v>
      </c>
      <c r="P5" s="456"/>
      <c r="Q5" s="456"/>
      <c r="R5" s="456"/>
      <c r="S5" s="456"/>
      <c r="T5" s="456"/>
      <c r="U5" s="456"/>
      <c r="V5" s="458"/>
      <c r="W5" s="459"/>
      <c r="X5" s="460"/>
      <c r="Y5" s="460"/>
      <c r="Z5" s="460"/>
      <c r="AA5" s="460"/>
      <c r="AB5" s="460"/>
      <c r="AC5" s="460"/>
      <c r="AD5" s="460"/>
      <c r="AE5" s="461"/>
    </row>
    <row r="6" spans="1:31" s="462" customFormat="1" ht="16" hidden="1" customHeight="1" x14ac:dyDescent="0.35">
      <c r="A6" s="454"/>
      <c r="B6" s="465" t="s">
        <v>729</v>
      </c>
      <c r="C6" s="456"/>
      <c r="D6" s="456"/>
      <c r="E6" s="456"/>
      <c r="F6" s="456"/>
      <c r="G6" s="456"/>
      <c r="H6" s="456"/>
      <c r="I6" s="456"/>
      <c r="J6" s="456"/>
      <c r="K6" s="466">
        <v>6</v>
      </c>
      <c r="L6" s="466">
        <v>15</v>
      </c>
      <c r="M6" s="466">
        <v>24</v>
      </c>
      <c r="N6" s="466">
        <v>32</v>
      </c>
      <c r="O6" s="466">
        <v>40</v>
      </c>
      <c r="P6" s="456"/>
      <c r="Q6" s="456"/>
      <c r="R6" s="456"/>
      <c r="S6" s="456"/>
      <c r="T6" s="456"/>
      <c r="U6" s="456"/>
      <c r="V6" s="458"/>
      <c r="W6" s="459"/>
      <c r="X6" s="460"/>
      <c r="Y6" s="460"/>
      <c r="Z6" s="460"/>
      <c r="AA6" s="460"/>
      <c r="AB6" s="460"/>
      <c r="AC6" s="460"/>
      <c r="AD6" s="460"/>
      <c r="AE6" s="461"/>
    </row>
    <row r="7" spans="1:31" s="462" customFormat="1" ht="16" hidden="1" customHeight="1" x14ac:dyDescent="0.35">
      <c r="A7" s="454"/>
      <c r="B7" s="465" t="s">
        <v>684</v>
      </c>
      <c r="C7" s="456"/>
      <c r="D7" s="456"/>
      <c r="E7" s="456"/>
      <c r="F7" s="456"/>
      <c r="G7" s="456"/>
      <c r="H7" s="456" t="s">
        <v>728</v>
      </c>
      <c r="I7" s="456"/>
      <c r="J7" s="460"/>
      <c r="K7" s="466">
        <v>14</v>
      </c>
      <c r="L7" s="466">
        <v>14</v>
      </c>
      <c r="M7" s="466">
        <v>14</v>
      </c>
      <c r="N7" s="466">
        <v>14</v>
      </c>
      <c r="O7" s="466">
        <v>14</v>
      </c>
      <c r="P7" s="456"/>
      <c r="Q7" s="465" t="s">
        <v>727</v>
      </c>
      <c r="R7" s="456"/>
      <c r="S7" s="466">
        <v>2007</v>
      </c>
      <c r="T7" s="465" t="s">
        <v>726</v>
      </c>
      <c r="U7" s="456"/>
      <c r="V7" s="467" t="s">
        <v>725</v>
      </c>
      <c r="W7" s="459"/>
      <c r="X7" s="460"/>
      <c r="Y7" s="460"/>
      <c r="Z7" s="460"/>
      <c r="AA7" s="460"/>
      <c r="AB7" s="460"/>
      <c r="AC7" s="460"/>
      <c r="AD7" s="460"/>
      <c r="AE7" s="461"/>
    </row>
    <row r="8" spans="1:31" s="462" customFormat="1" ht="15.75" hidden="1" customHeight="1" x14ac:dyDescent="0.35">
      <c r="A8" s="454"/>
      <c r="B8" s="465" t="s">
        <v>724</v>
      </c>
      <c r="C8" s="456"/>
      <c r="D8" s="456"/>
      <c r="E8" s="456"/>
      <c r="F8" s="456"/>
      <c r="G8" s="456"/>
      <c r="H8" s="456"/>
      <c r="I8" s="456"/>
      <c r="J8" s="456"/>
      <c r="K8" s="466">
        <f>K6*K12*K7</f>
        <v>20160</v>
      </c>
      <c r="L8" s="466">
        <f>L6*L12*L7</f>
        <v>75600</v>
      </c>
      <c r="M8" s="466">
        <f>M6*M12*M7</f>
        <v>120960</v>
      </c>
      <c r="N8" s="466">
        <f>N6*N12*N7</f>
        <v>161280</v>
      </c>
      <c r="O8" s="466">
        <f>O6*O12*O7</f>
        <v>201600</v>
      </c>
      <c r="P8" s="456"/>
      <c r="Q8" s="465" t="s">
        <v>723</v>
      </c>
      <c r="R8" s="456"/>
      <c r="S8" s="466">
        <v>2022</v>
      </c>
      <c r="T8" s="465" t="s">
        <v>722</v>
      </c>
      <c r="U8" s="456"/>
      <c r="V8" s="467" t="s">
        <v>721</v>
      </c>
      <c r="W8" s="459"/>
      <c r="X8" s="460"/>
      <c r="Y8" s="460"/>
      <c r="Z8" s="460"/>
      <c r="AA8" s="460"/>
      <c r="AB8" s="460"/>
      <c r="AC8" s="460"/>
      <c r="AD8" s="460"/>
      <c r="AE8" s="461"/>
    </row>
    <row r="9" spans="1:31" s="462" customFormat="1" ht="16" hidden="1" customHeight="1" x14ac:dyDescent="0.35">
      <c r="A9" s="454"/>
      <c r="B9" s="465" t="s">
        <v>720</v>
      </c>
      <c r="C9" s="456"/>
      <c r="D9" s="456"/>
      <c r="E9" s="456"/>
      <c r="F9" s="456"/>
      <c r="G9" s="456"/>
      <c r="H9" s="456"/>
      <c r="I9" s="456"/>
      <c r="J9" s="456"/>
      <c r="K9" s="466">
        <v>2</v>
      </c>
      <c r="L9" s="466">
        <v>2</v>
      </c>
      <c r="M9" s="466">
        <v>2</v>
      </c>
      <c r="N9" s="466">
        <v>2</v>
      </c>
      <c r="O9" s="466">
        <v>2</v>
      </c>
      <c r="P9" s="456"/>
      <c r="Q9" s="465" t="s">
        <v>719</v>
      </c>
      <c r="R9" s="456"/>
      <c r="S9" s="456"/>
      <c r="T9" s="456"/>
      <c r="U9" s="456"/>
      <c r="V9" s="458"/>
      <c r="W9" s="459"/>
      <c r="X9" s="460"/>
      <c r="Y9" s="460"/>
      <c r="Z9" s="460"/>
      <c r="AA9" s="460"/>
      <c r="AB9" s="460"/>
      <c r="AC9" s="460"/>
      <c r="AD9" s="460"/>
      <c r="AE9" s="461"/>
    </row>
    <row r="10" spans="1:31" s="462" customFormat="1" ht="16" hidden="1" customHeight="1" x14ac:dyDescent="0.35">
      <c r="A10" s="454"/>
      <c r="B10" s="465" t="s">
        <v>682</v>
      </c>
      <c r="C10" s="456"/>
      <c r="D10" s="456"/>
      <c r="E10" s="456"/>
      <c r="F10" s="456"/>
      <c r="G10" s="456"/>
      <c r="H10" s="456"/>
      <c r="I10" s="456"/>
      <c r="J10" s="456"/>
      <c r="K10" s="466">
        <f>K6*K7/K9</f>
        <v>42</v>
      </c>
      <c r="L10" s="466">
        <f>L6*L7/L9</f>
        <v>105</v>
      </c>
      <c r="M10" s="466">
        <f>M6*M7/M9</f>
        <v>168</v>
      </c>
      <c r="N10" s="466">
        <f>N6*N7/N9</f>
        <v>224</v>
      </c>
      <c r="O10" s="466">
        <f>O6*O7/O9</f>
        <v>280</v>
      </c>
      <c r="P10" s="456"/>
      <c r="Q10" s="465" t="s">
        <v>718</v>
      </c>
      <c r="R10" s="456"/>
      <c r="S10" s="456"/>
      <c r="T10" s="456"/>
      <c r="U10" s="456"/>
      <c r="V10" s="458"/>
      <c r="W10" s="459"/>
      <c r="X10" s="460"/>
      <c r="Y10" s="460"/>
      <c r="Z10" s="460"/>
      <c r="AA10" s="460"/>
      <c r="AB10" s="460"/>
      <c r="AC10" s="460"/>
      <c r="AD10" s="460"/>
      <c r="AE10" s="461"/>
    </row>
    <row r="11" spans="1:31" s="462" customFormat="1" ht="16" hidden="1" customHeight="1" x14ac:dyDescent="0.35">
      <c r="A11" s="454"/>
      <c r="B11" s="465" t="s">
        <v>717</v>
      </c>
      <c r="C11" s="456"/>
      <c r="D11" s="456"/>
      <c r="E11" s="456"/>
      <c r="F11" s="456"/>
      <c r="G11" s="456"/>
      <c r="H11" s="456"/>
      <c r="I11" s="456"/>
      <c r="J11" s="456"/>
      <c r="K11" s="466">
        <v>12</v>
      </c>
      <c r="L11" s="466">
        <v>12</v>
      </c>
      <c r="M11" s="466">
        <v>12</v>
      </c>
      <c r="N11" s="466">
        <v>12</v>
      </c>
      <c r="O11" s="466">
        <v>12</v>
      </c>
      <c r="P11" s="456"/>
      <c r="Q11" s="465" t="s">
        <v>716</v>
      </c>
      <c r="R11" s="456"/>
      <c r="S11" s="456"/>
      <c r="T11" s="456"/>
      <c r="U11" s="456"/>
      <c r="V11" s="458"/>
      <c r="W11" s="459"/>
      <c r="X11" s="460"/>
      <c r="Y11" s="460"/>
      <c r="Z11" s="460"/>
      <c r="AA11" s="460"/>
      <c r="AB11" s="460"/>
      <c r="AC11" s="460"/>
      <c r="AD11" s="460"/>
      <c r="AE11" s="461"/>
    </row>
    <row r="12" spans="1:31" s="462" customFormat="1" ht="16" hidden="1" customHeight="1" x14ac:dyDescent="0.35">
      <c r="A12" s="454"/>
      <c r="B12" s="465" t="s">
        <v>685</v>
      </c>
      <c r="C12" s="456"/>
      <c r="D12" s="456"/>
      <c r="E12" s="456"/>
      <c r="F12" s="456"/>
      <c r="G12" s="456"/>
      <c r="H12" s="456"/>
      <c r="I12" s="456"/>
      <c r="J12" s="456"/>
      <c r="K12" s="466">
        <f>K11*20</f>
        <v>240</v>
      </c>
      <c r="L12" s="466">
        <f>L11*30</f>
        <v>360</v>
      </c>
      <c r="M12" s="466">
        <f>M11*30</f>
        <v>360</v>
      </c>
      <c r="N12" s="466">
        <f>N11*30</f>
        <v>360</v>
      </c>
      <c r="O12" s="466">
        <f>O11*30</f>
        <v>360</v>
      </c>
      <c r="P12" s="456"/>
      <c r="Q12" s="456"/>
      <c r="R12" s="456"/>
      <c r="S12" s="456"/>
      <c r="T12" s="456"/>
      <c r="U12" s="456"/>
      <c r="V12" s="458"/>
      <c r="W12" s="459"/>
      <c r="X12" s="460"/>
      <c r="Y12" s="460"/>
      <c r="Z12" s="460"/>
      <c r="AA12" s="460"/>
      <c r="AB12" s="460"/>
      <c r="AC12" s="460"/>
      <c r="AD12" s="460"/>
      <c r="AE12" s="461"/>
    </row>
    <row r="13" spans="1:31" s="462" customFormat="1" ht="16" hidden="1" customHeight="1" x14ac:dyDescent="0.35">
      <c r="A13" s="454"/>
      <c r="B13" s="465" t="s">
        <v>715</v>
      </c>
      <c r="C13" s="456"/>
      <c r="D13" s="456"/>
      <c r="E13" s="456"/>
      <c r="F13" s="468"/>
      <c r="G13" s="456"/>
      <c r="H13" s="456"/>
      <c r="I13" s="456"/>
      <c r="J13" s="456"/>
      <c r="K13" s="466">
        <f>K12*K10</f>
        <v>10080</v>
      </c>
      <c r="L13" s="466">
        <f>L12*L10</f>
        <v>37800</v>
      </c>
      <c r="M13" s="466">
        <f>M12*M10</f>
        <v>60480</v>
      </c>
      <c r="N13" s="466">
        <f>N12*N10</f>
        <v>80640</v>
      </c>
      <c r="O13" s="466">
        <f>O12*O10</f>
        <v>100800</v>
      </c>
      <c r="P13" s="456"/>
      <c r="Q13" s="469"/>
      <c r="R13" s="456"/>
      <c r="S13" s="456"/>
      <c r="T13" s="456"/>
      <c r="U13" s="456"/>
      <c r="V13" s="458"/>
      <c r="W13" s="459"/>
      <c r="X13" s="460"/>
      <c r="Y13" s="460"/>
      <c r="Z13" s="460"/>
      <c r="AA13" s="460"/>
      <c r="AB13" s="460"/>
      <c r="AC13" s="460"/>
      <c r="AD13" s="460"/>
      <c r="AE13" s="461"/>
    </row>
    <row r="14" spans="1:31" s="462" customFormat="1" ht="16" hidden="1" customHeight="1" x14ac:dyDescent="0.35">
      <c r="A14" s="454"/>
      <c r="B14" s="465" t="s">
        <v>714</v>
      </c>
      <c r="C14" s="456"/>
      <c r="D14" s="456"/>
      <c r="E14" s="456"/>
      <c r="F14" s="470">
        <v>90</v>
      </c>
      <c r="G14" s="456"/>
      <c r="H14" s="470">
        <v>108</v>
      </c>
      <c r="I14" s="465" t="s">
        <v>676</v>
      </c>
      <c r="J14" s="456"/>
      <c r="K14" s="466">
        <v>137</v>
      </c>
      <c r="L14" s="466">
        <v>110</v>
      </c>
      <c r="M14" s="466">
        <v>110</v>
      </c>
      <c r="N14" s="466">
        <v>110</v>
      </c>
      <c r="O14" s="466">
        <v>110</v>
      </c>
      <c r="P14" s="456"/>
      <c r="Q14" s="456"/>
      <c r="R14" s="456"/>
      <c r="S14" s="456"/>
      <c r="T14" s="456"/>
      <c r="U14" s="456"/>
      <c r="V14" s="458"/>
      <c r="W14" s="459"/>
      <c r="X14" s="460"/>
      <c r="Y14" s="460"/>
      <c r="Z14" s="460"/>
      <c r="AA14" s="460"/>
      <c r="AB14" s="460"/>
      <c r="AC14" s="460"/>
      <c r="AD14" s="460"/>
      <c r="AE14" s="461"/>
    </row>
    <row r="15" spans="1:31" s="479" customFormat="1" ht="16" customHeight="1" x14ac:dyDescent="0.35">
      <c r="A15" s="471"/>
      <c r="B15" s="472" t="s">
        <v>713</v>
      </c>
      <c r="C15" s="473"/>
      <c r="D15" s="473"/>
      <c r="E15" s="473"/>
      <c r="F15" s="473"/>
      <c r="G15" s="473"/>
      <c r="H15" s="473"/>
      <c r="I15" s="473"/>
      <c r="J15" s="473"/>
      <c r="K15" s="474">
        <f>'Modèle de plan de trésorerie'!C18</f>
        <v>6480000</v>
      </c>
      <c r="L15" s="474">
        <f>'Modèle de plan de trésorerie'!D18</f>
        <v>14129099.999999998</v>
      </c>
      <c r="M15" s="474">
        <f>'Modèle de plan de trésorerie'!E18</f>
        <v>16954919.999999996</v>
      </c>
      <c r="N15" s="474">
        <f>'Modèle de plan de trésorerie'!F18</f>
        <v>22041395.999999996</v>
      </c>
      <c r="O15" s="474">
        <f>'Modèle de plan de trésorerie'!G18</f>
        <v>28653814.799999997</v>
      </c>
      <c r="P15" s="473"/>
      <c r="Q15" s="473"/>
      <c r="R15" s="473"/>
      <c r="S15" s="473"/>
      <c r="T15" s="473"/>
      <c r="U15" s="473"/>
      <c r="V15" s="475"/>
      <c r="W15" s="476"/>
      <c r="X15" s="477"/>
      <c r="Y15" s="477"/>
      <c r="Z15" s="477"/>
      <c r="AA15" s="477"/>
      <c r="AB15" s="477"/>
      <c r="AC15" s="477"/>
      <c r="AD15" s="477"/>
      <c r="AE15" s="478"/>
    </row>
    <row r="16" spans="1:31" s="462" customFormat="1" ht="16" customHeight="1" x14ac:dyDescent="0.35">
      <c r="A16" s="454"/>
      <c r="B16" s="456"/>
      <c r="C16" s="456"/>
      <c r="D16" s="456"/>
      <c r="E16" s="456"/>
      <c r="F16" s="456"/>
      <c r="G16" s="456"/>
      <c r="H16" s="456"/>
      <c r="I16" s="456"/>
      <c r="J16" s="456"/>
      <c r="K16" s="480"/>
      <c r="L16" s="480"/>
      <c r="M16" s="480"/>
      <c r="N16" s="480"/>
      <c r="O16" s="480"/>
      <c r="P16" s="456"/>
      <c r="Q16" s="465" t="s">
        <v>712</v>
      </c>
      <c r="R16" s="456"/>
      <c r="S16" s="456"/>
      <c r="T16" s="456"/>
      <c r="U16" s="456"/>
      <c r="V16" s="458"/>
      <c r="W16" s="459"/>
      <c r="X16" s="460"/>
      <c r="Y16" s="460"/>
      <c r="Z16" s="460"/>
      <c r="AA16" s="460"/>
      <c r="AB16" s="460"/>
      <c r="AC16" s="460"/>
      <c r="AD16" s="460"/>
      <c r="AE16" s="461"/>
    </row>
    <row r="17" spans="1:31" s="462" customFormat="1" ht="23.15" hidden="1" customHeight="1" x14ac:dyDescent="0.35">
      <c r="A17" s="454"/>
      <c r="B17" s="481" t="s">
        <v>711</v>
      </c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65" t="s">
        <v>710</v>
      </c>
      <c r="Q17" s="465" t="s">
        <v>709</v>
      </c>
      <c r="R17" s="465" t="s">
        <v>708</v>
      </c>
      <c r="S17" s="465" t="s">
        <v>707</v>
      </c>
      <c r="T17" s="465" t="s">
        <v>706</v>
      </c>
      <c r="U17" s="456"/>
      <c r="V17" s="458"/>
      <c r="W17" s="459"/>
      <c r="X17" s="460"/>
      <c r="Y17" s="460"/>
      <c r="Z17" s="460"/>
      <c r="AA17" s="460"/>
      <c r="AB17" s="460"/>
      <c r="AC17" s="460"/>
      <c r="AD17" s="460"/>
      <c r="AE17" s="461"/>
    </row>
    <row r="18" spans="1:31" s="462" customFormat="1" ht="16" hidden="1" customHeight="1" x14ac:dyDescent="0.35">
      <c r="A18" s="454"/>
      <c r="B18" s="465" t="s">
        <v>705</v>
      </c>
      <c r="C18" s="456"/>
      <c r="D18" s="456"/>
      <c r="E18" s="456"/>
      <c r="F18" s="456"/>
      <c r="G18" s="456"/>
      <c r="H18" s="456"/>
      <c r="I18" s="456"/>
      <c r="J18" s="456"/>
      <c r="K18" s="466">
        <v>10</v>
      </c>
      <c r="L18" s="466">
        <v>20</v>
      </c>
      <c r="M18" s="466">
        <v>60</v>
      </c>
      <c r="N18" s="466">
        <v>180</v>
      </c>
      <c r="O18" s="466">
        <v>500</v>
      </c>
      <c r="P18" s="466">
        <v>20000</v>
      </c>
      <c r="Q18" s="465" t="s">
        <v>704</v>
      </c>
      <c r="R18" s="465" t="s">
        <v>703</v>
      </c>
      <c r="S18" s="465" t="s">
        <v>702</v>
      </c>
      <c r="T18" s="456"/>
      <c r="U18" s="456"/>
      <c r="V18" s="458"/>
      <c r="W18" s="459"/>
      <c r="X18" s="460"/>
      <c r="Y18" s="460"/>
      <c r="Z18" s="460"/>
      <c r="AA18" s="460"/>
      <c r="AB18" s="460"/>
      <c r="AC18" s="460"/>
      <c r="AD18" s="460"/>
      <c r="AE18" s="461"/>
    </row>
    <row r="19" spans="1:31" s="462" customFormat="1" ht="16" hidden="1" customHeight="1" x14ac:dyDescent="0.35">
      <c r="A19" s="454"/>
      <c r="B19" s="465" t="s">
        <v>685</v>
      </c>
      <c r="C19" s="456"/>
      <c r="D19" s="456"/>
      <c r="E19" s="456"/>
      <c r="F19" s="456"/>
      <c r="G19" s="456"/>
      <c r="H19" s="456"/>
      <c r="I19" s="456"/>
      <c r="J19" s="456"/>
      <c r="K19" s="466">
        <v>40</v>
      </c>
      <c r="L19" s="466">
        <v>80</v>
      </c>
      <c r="M19" s="466">
        <v>120</v>
      </c>
      <c r="N19" s="466">
        <v>160</v>
      </c>
      <c r="O19" s="466">
        <v>200</v>
      </c>
      <c r="P19" s="456"/>
      <c r="Q19" s="465" t="s">
        <v>701</v>
      </c>
      <c r="R19" s="456"/>
      <c r="S19" s="456"/>
      <c r="T19" s="456"/>
      <c r="U19" s="456"/>
      <c r="V19" s="458"/>
      <c r="W19" s="459"/>
      <c r="X19" s="460"/>
      <c r="Y19" s="460"/>
      <c r="Z19" s="460"/>
      <c r="AA19" s="460"/>
      <c r="AB19" s="460"/>
      <c r="AC19" s="460"/>
      <c r="AD19" s="460"/>
      <c r="AE19" s="461"/>
    </row>
    <row r="20" spans="1:31" s="462" customFormat="1" ht="16" hidden="1" customHeight="1" x14ac:dyDescent="0.35">
      <c r="A20" s="454"/>
      <c r="B20" s="465" t="s">
        <v>684</v>
      </c>
      <c r="C20" s="456"/>
      <c r="D20" s="456"/>
      <c r="E20" s="456"/>
      <c r="F20" s="456"/>
      <c r="G20" s="456"/>
      <c r="H20" s="456"/>
      <c r="I20" s="456"/>
      <c r="J20" s="456"/>
      <c r="K20" s="466">
        <v>2</v>
      </c>
      <c r="L20" s="466">
        <v>4</v>
      </c>
      <c r="M20" s="466">
        <v>10</v>
      </c>
      <c r="N20" s="466">
        <v>10</v>
      </c>
      <c r="O20" s="466">
        <v>10</v>
      </c>
      <c r="P20" s="456"/>
      <c r="Q20" s="465" t="s">
        <v>700</v>
      </c>
      <c r="R20" s="456"/>
      <c r="S20" s="456"/>
      <c r="T20" s="456"/>
      <c r="U20" s="456"/>
      <c r="V20" s="458"/>
      <c r="W20" s="459"/>
      <c r="X20" s="460"/>
      <c r="Y20" s="460"/>
      <c r="Z20" s="460"/>
      <c r="AA20" s="460"/>
      <c r="AB20" s="460"/>
      <c r="AC20" s="460"/>
      <c r="AD20" s="460"/>
      <c r="AE20" s="461"/>
    </row>
    <row r="21" spans="1:31" s="462" customFormat="1" ht="16" hidden="1" customHeight="1" x14ac:dyDescent="0.35">
      <c r="A21" s="454"/>
      <c r="B21" s="465" t="s">
        <v>683</v>
      </c>
      <c r="C21" s="456"/>
      <c r="D21" s="456"/>
      <c r="E21" s="456"/>
      <c r="F21" s="456"/>
      <c r="G21" s="456"/>
      <c r="H21" s="456"/>
      <c r="I21" s="456"/>
      <c r="J21" s="456"/>
      <c r="K21" s="466">
        <f>K20*K19*K18</f>
        <v>800</v>
      </c>
      <c r="L21" s="466">
        <f>L20*L19*L18</f>
        <v>6400</v>
      </c>
      <c r="M21" s="466">
        <f>M20*M19*M18</f>
        <v>72000</v>
      </c>
      <c r="N21" s="466">
        <f>N20*N19*N18</f>
        <v>288000</v>
      </c>
      <c r="O21" s="466">
        <f>O20*O19*O18</f>
        <v>1000000</v>
      </c>
      <c r="P21" s="456"/>
      <c r="Q21" s="465" t="s">
        <v>699</v>
      </c>
      <c r="R21" s="456"/>
      <c r="S21" s="456"/>
      <c r="T21" s="456"/>
      <c r="U21" s="456"/>
      <c r="V21" s="458"/>
      <c r="W21" s="459"/>
      <c r="X21" s="460"/>
      <c r="Y21" s="460"/>
      <c r="Z21" s="460"/>
      <c r="AA21" s="460"/>
      <c r="AB21" s="460"/>
      <c r="AC21" s="460"/>
      <c r="AD21" s="460"/>
      <c r="AE21" s="461"/>
    </row>
    <row r="22" spans="1:31" s="462" customFormat="1" ht="16" hidden="1" customHeight="1" x14ac:dyDescent="0.35">
      <c r="A22" s="454"/>
      <c r="B22" s="465" t="s">
        <v>682</v>
      </c>
      <c r="C22" s="456"/>
      <c r="D22" s="456"/>
      <c r="E22" s="456"/>
      <c r="F22" s="456"/>
      <c r="G22" s="456"/>
      <c r="H22" s="456"/>
      <c r="I22" s="456"/>
      <c r="J22" s="456"/>
      <c r="K22" s="466">
        <v>0.5</v>
      </c>
      <c r="L22" s="466">
        <v>1</v>
      </c>
      <c r="M22" s="466">
        <v>2</v>
      </c>
      <c r="N22" s="466">
        <v>4</v>
      </c>
      <c r="O22" s="466">
        <v>8</v>
      </c>
      <c r="P22" s="456"/>
      <c r="Q22" s="465" t="s">
        <v>698</v>
      </c>
      <c r="R22" s="456"/>
      <c r="S22" s="456"/>
      <c r="T22" s="456"/>
      <c r="U22" s="456"/>
      <c r="V22" s="458"/>
      <c r="W22" s="459"/>
      <c r="X22" s="460"/>
      <c r="Y22" s="460"/>
      <c r="Z22" s="460"/>
      <c r="AA22" s="460"/>
      <c r="AB22" s="460"/>
      <c r="AC22" s="460"/>
      <c r="AD22" s="460"/>
      <c r="AE22" s="461"/>
    </row>
    <row r="23" spans="1:31" s="462" customFormat="1" ht="16" hidden="1" customHeight="1" x14ac:dyDescent="0.35">
      <c r="A23" s="454"/>
      <c r="B23" s="465" t="s">
        <v>681</v>
      </c>
      <c r="C23" s="456"/>
      <c r="D23" s="456"/>
      <c r="E23" s="456"/>
      <c r="F23" s="456"/>
      <c r="G23" s="456"/>
      <c r="H23" s="456"/>
      <c r="I23" s="456"/>
      <c r="J23" s="456"/>
      <c r="K23" s="466">
        <f>K21*K22</f>
        <v>400</v>
      </c>
      <c r="L23" s="466">
        <f>L21*L22</f>
        <v>6400</v>
      </c>
      <c r="M23" s="466">
        <f>M21*M22</f>
        <v>144000</v>
      </c>
      <c r="N23" s="466">
        <f>N21*N22</f>
        <v>1152000</v>
      </c>
      <c r="O23" s="466">
        <f>O21*O22</f>
        <v>8000000</v>
      </c>
      <c r="P23" s="456"/>
      <c r="Q23" s="465" t="s">
        <v>697</v>
      </c>
      <c r="R23" s="456"/>
      <c r="S23" s="456"/>
      <c r="T23" s="456"/>
      <c r="U23" s="456"/>
      <c r="V23" s="458"/>
      <c r="W23" s="459"/>
      <c r="X23" s="460"/>
      <c r="Y23" s="460"/>
      <c r="Z23" s="460"/>
      <c r="AA23" s="460"/>
      <c r="AB23" s="460"/>
      <c r="AC23" s="460"/>
      <c r="AD23" s="460"/>
      <c r="AE23" s="461"/>
    </row>
    <row r="24" spans="1:31" s="462" customFormat="1" ht="16" hidden="1" customHeight="1" x14ac:dyDescent="0.35">
      <c r="A24" s="454"/>
      <c r="B24" s="465" t="s">
        <v>680</v>
      </c>
      <c r="C24" s="456"/>
      <c r="D24" s="456"/>
      <c r="E24" s="456"/>
      <c r="F24" s="456"/>
      <c r="G24" s="456"/>
      <c r="H24" s="456"/>
      <c r="I24" s="456"/>
      <c r="J24" s="456"/>
      <c r="K24" s="466">
        <f>K21*K22</f>
        <v>400</v>
      </c>
      <c r="L24" s="466">
        <f>L21*L22</f>
        <v>6400</v>
      </c>
      <c r="M24" s="466">
        <f>M21*M22</f>
        <v>144000</v>
      </c>
      <c r="N24" s="466">
        <f>N21*N22</f>
        <v>1152000</v>
      </c>
      <c r="O24" s="466">
        <f>O21*O22</f>
        <v>8000000</v>
      </c>
      <c r="P24" s="456"/>
      <c r="Q24" s="456"/>
      <c r="R24" s="456"/>
      <c r="S24" s="456"/>
      <c r="T24" s="456"/>
      <c r="U24" s="456"/>
      <c r="V24" s="458"/>
      <c r="W24" s="459"/>
      <c r="X24" s="460"/>
      <c r="Y24" s="460"/>
      <c r="Z24" s="460"/>
      <c r="AA24" s="460"/>
      <c r="AB24" s="460"/>
      <c r="AC24" s="460"/>
      <c r="AD24" s="460"/>
      <c r="AE24" s="461"/>
    </row>
    <row r="25" spans="1:31" s="462" customFormat="1" ht="16" hidden="1" customHeight="1" x14ac:dyDescent="0.35">
      <c r="A25" s="454"/>
      <c r="B25" s="465" t="s">
        <v>679</v>
      </c>
      <c r="C25" s="456"/>
      <c r="D25" s="456"/>
      <c r="E25" s="456"/>
      <c r="F25" s="466">
        <v>1</v>
      </c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8"/>
      <c r="W25" s="459"/>
      <c r="X25" s="460"/>
      <c r="Y25" s="460"/>
      <c r="Z25" s="460"/>
      <c r="AA25" s="460"/>
      <c r="AB25" s="460"/>
      <c r="AC25" s="460"/>
      <c r="AD25" s="460"/>
      <c r="AE25" s="461"/>
    </row>
    <row r="26" spans="1:31" s="462" customFormat="1" ht="28.4" hidden="1" customHeight="1" x14ac:dyDescent="0.35">
      <c r="A26" s="454"/>
      <c r="B26" s="465" t="s">
        <v>696</v>
      </c>
      <c r="C26" s="456"/>
      <c r="D26" s="456"/>
      <c r="E26" s="456"/>
      <c r="F26" s="482">
        <v>80</v>
      </c>
      <c r="G26" s="456"/>
      <c r="H26" s="483">
        <f>F26*1.2</f>
        <v>96</v>
      </c>
      <c r="I26" s="465" t="s">
        <v>676</v>
      </c>
      <c r="J26" s="456"/>
      <c r="K26" s="482">
        <v>90</v>
      </c>
      <c r="L26" s="482">
        <v>90</v>
      </c>
      <c r="M26" s="482">
        <v>90</v>
      </c>
      <c r="N26" s="482">
        <v>90</v>
      </c>
      <c r="O26" s="482">
        <v>90</v>
      </c>
      <c r="P26" s="456"/>
      <c r="Q26" s="456"/>
      <c r="R26" s="456"/>
      <c r="S26" s="456"/>
      <c r="T26" s="456"/>
      <c r="U26" s="456"/>
      <c r="V26" s="458"/>
      <c r="W26" s="459"/>
      <c r="X26" s="460"/>
      <c r="Y26" s="460"/>
      <c r="Z26" s="460"/>
      <c r="AA26" s="460"/>
      <c r="AB26" s="460"/>
      <c r="AC26" s="460"/>
      <c r="AD26" s="460"/>
      <c r="AE26" s="461"/>
    </row>
    <row r="27" spans="1:31" s="462" customFormat="1" ht="16" hidden="1" customHeight="1" x14ac:dyDescent="0.35">
      <c r="A27" s="454"/>
      <c r="B27" s="465" t="s">
        <v>675</v>
      </c>
      <c r="C27" s="456"/>
      <c r="D27" s="456"/>
      <c r="E27" s="456"/>
      <c r="F27" s="456"/>
      <c r="G27" s="456"/>
      <c r="H27" s="456"/>
      <c r="I27" s="456"/>
      <c r="J27" s="456"/>
      <c r="K27" s="480">
        <f>K24*K26</f>
        <v>36000</v>
      </c>
      <c r="L27" s="480">
        <f>L24*L26</f>
        <v>576000</v>
      </c>
      <c r="M27" s="480">
        <f>M24*M26</f>
        <v>12960000</v>
      </c>
      <c r="N27" s="480">
        <f>N24*N26</f>
        <v>103680000</v>
      </c>
      <c r="O27" s="480">
        <f>O24*O26</f>
        <v>720000000</v>
      </c>
      <c r="P27" s="465" t="s">
        <v>695</v>
      </c>
      <c r="Q27" s="456"/>
      <c r="R27" s="456"/>
      <c r="S27" s="456"/>
      <c r="T27" s="456"/>
      <c r="U27" s="456"/>
      <c r="V27" s="458"/>
      <c r="W27" s="459"/>
      <c r="X27" s="460"/>
      <c r="Y27" s="460"/>
      <c r="Z27" s="460"/>
      <c r="AA27" s="460"/>
      <c r="AB27" s="460"/>
      <c r="AC27" s="460"/>
      <c r="AD27" s="460"/>
      <c r="AE27" s="461"/>
    </row>
    <row r="28" spans="1:31" s="462" customFormat="1" ht="17.5" hidden="1" x14ac:dyDescent="0.35">
      <c r="A28" s="454"/>
      <c r="B28" s="456"/>
      <c r="C28" s="456"/>
      <c r="D28" s="456"/>
      <c r="E28" s="456"/>
      <c r="F28" s="456"/>
      <c r="G28" s="456"/>
      <c r="H28" s="456"/>
      <c r="I28" s="456"/>
      <c r="J28" s="456"/>
      <c r="K28" s="480"/>
      <c r="L28" s="480"/>
      <c r="M28" s="480"/>
      <c r="N28" s="480"/>
      <c r="O28" s="480"/>
      <c r="P28" s="456"/>
      <c r="Q28" s="456"/>
      <c r="R28" s="456"/>
      <c r="S28" s="456"/>
      <c r="T28" s="456"/>
      <c r="U28" s="456"/>
      <c r="V28" s="458"/>
      <c r="W28" s="459"/>
      <c r="X28" s="460"/>
      <c r="Y28" s="460"/>
      <c r="Z28" s="460"/>
      <c r="AA28" s="460"/>
      <c r="AB28" s="460"/>
      <c r="AC28" s="460"/>
      <c r="AD28" s="460"/>
      <c r="AE28" s="461"/>
    </row>
    <row r="29" spans="1:31" s="462" customFormat="1" ht="28.4" hidden="1" customHeight="1" x14ac:dyDescent="0.35">
      <c r="A29" s="454"/>
      <c r="B29" s="481" t="s">
        <v>694</v>
      </c>
      <c r="C29" s="456"/>
      <c r="D29" s="456"/>
      <c r="E29" s="456"/>
      <c r="F29" s="456"/>
      <c r="G29" s="456"/>
      <c r="H29" s="456"/>
      <c r="I29" s="456"/>
      <c r="J29" s="456"/>
      <c r="K29" s="465"/>
      <c r="L29" s="480"/>
      <c r="M29" s="480"/>
      <c r="N29" s="480"/>
      <c r="O29" s="480"/>
      <c r="P29" s="456"/>
      <c r="Q29" s="456"/>
      <c r="R29" s="456"/>
      <c r="S29" s="456"/>
      <c r="T29" s="456"/>
      <c r="U29" s="456"/>
      <c r="V29" s="458"/>
      <c r="W29" s="459"/>
      <c r="X29" s="460"/>
      <c r="Y29" s="460"/>
      <c r="Z29" s="460"/>
      <c r="AA29" s="460"/>
      <c r="AB29" s="460"/>
      <c r="AC29" s="460"/>
      <c r="AD29" s="460"/>
      <c r="AE29" s="461"/>
    </row>
    <row r="30" spans="1:31" s="462" customFormat="1" ht="16" hidden="1" customHeight="1" x14ac:dyDescent="0.35">
      <c r="A30" s="484">
        <v>1</v>
      </c>
      <c r="B30" s="485" t="s">
        <v>693</v>
      </c>
      <c r="C30" s="456"/>
      <c r="D30" s="456"/>
      <c r="E30" s="456"/>
      <c r="F30" s="456"/>
      <c r="G30" s="456"/>
      <c r="H30" s="456"/>
      <c r="I30" s="456"/>
      <c r="J30" s="456"/>
      <c r="K30" s="466">
        <v>1</v>
      </c>
      <c r="L30" s="466">
        <v>15</v>
      </c>
      <c r="M30" s="466">
        <v>100</v>
      </c>
      <c r="N30" s="466">
        <v>300</v>
      </c>
      <c r="O30" s="466">
        <v>1000</v>
      </c>
      <c r="P30" s="465" t="s">
        <v>692</v>
      </c>
      <c r="Q30" s="486" t="s">
        <v>691</v>
      </c>
      <c r="R30" s="456"/>
      <c r="S30" s="456"/>
      <c r="T30" s="456"/>
      <c r="U30" s="456"/>
      <c r="V30" s="458"/>
      <c r="W30" s="459"/>
      <c r="X30" s="460"/>
      <c r="Y30" s="460"/>
      <c r="Z30" s="460"/>
      <c r="AA30" s="460"/>
      <c r="AB30" s="460"/>
      <c r="AC30" s="460"/>
      <c r="AD30" s="460"/>
      <c r="AE30" s="461"/>
    </row>
    <row r="31" spans="1:31" s="462" customFormat="1" ht="16" hidden="1" customHeight="1" x14ac:dyDescent="0.35">
      <c r="A31" s="454"/>
      <c r="B31" s="465" t="s">
        <v>685</v>
      </c>
      <c r="C31" s="456"/>
      <c r="D31" s="456"/>
      <c r="E31" s="456"/>
      <c r="F31" s="456"/>
      <c r="G31" s="456"/>
      <c r="H31" s="456"/>
      <c r="I31" s="456"/>
      <c r="J31" s="456"/>
      <c r="K31" s="466">
        <v>40</v>
      </c>
      <c r="L31" s="466">
        <v>80</v>
      </c>
      <c r="M31" s="466">
        <v>120</v>
      </c>
      <c r="N31" s="466">
        <v>160</v>
      </c>
      <c r="O31" s="466">
        <v>200</v>
      </c>
      <c r="P31" s="456"/>
      <c r="Q31" s="456"/>
      <c r="R31" s="456"/>
      <c r="S31" s="456"/>
      <c r="T31" s="456"/>
      <c r="U31" s="456"/>
      <c r="V31" s="458"/>
      <c r="W31" s="459"/>
      <c r="X31" s="460"/>
      <c r="Y31" s="460"/>
      <c r="Z31" s="460"/>
      <c r="AA31" s="460"/>
      <c r="AB31" s="460"/>
      <c r="AC31" s="460"/>
      <c r="AD31" s="460"/>
      <c r="AE31" s="461"/>
    </row>
    <row r="32" spans="1:31" s="462" customFormat="1" ht="16" hidden="1" customHeight="1" x14ac:dyDescent="0.35">
      <c r="A32" s="454"/>
      <c r="B32" s="465" t="s">
        <v>684</v>
      </c>
      <c r="C32" s="456"/>
      <c r="D32" s="456"/>
      <c r="E32" s="456"/>
      <c r="F32" s="456"/>
      <c r="G32" s="456"/>
      <c r="H32" s="456"/>
      <c r="I32" s="456"/>
      <c r="J32" s="456"/>
      <c r="K32" s="466">
        <v>1</v>
      </c>
      <c r="L32" s="466">
        <v>10</v>
      </c>
      <c r="M32" s="466">
        <v>10</v>
      </c>
      <c r="N32" s="466">
        <v>10</v>
      </c>
      <c r="O32" s="466">
        <v>10</v>
      </c>
      <c r="P32" s="456"/>
      <c r="Q32" s="456"/>
      <c r="R32" s="456"/>
      <c r="S32" s="456"/>
      <c r="T32" s="456"/>
      <c r="U32" s="456"/>
      <c r="V32" s="458"/>
      <c r="W32" s="459"/>
      <c r="X32" s="460"/>
      <c r="Y32" s="460"/>
      <c r="Z32" s="460"/>
      <c r="AA32" s="460"/>
      <c r="AB32" s="460"/>
      <c r="AC32" s="460"/>
      <c r="AD32" s="460"/>
      <c r="AE32" s="461"/>
    </row>
    <row r="33" spans="1:31" s="462" customFormat="1" ht="16" hidden="1" customHeight="1" x14ac:dyDescent="0.35">
      <c r="A33" s="454"/>
      <c r="B33" s="465" t="s">
        <v>683</v>
      </c>
      <c r="C33" s="456"/>
      <c r="D33" s="456"/>
      <c r="E33" s="456"/>
      <c r="F33" s="456"/>
      <c r="G33" s="456"/>
      <c r="H33" s="456"/>
      <c r="I33" s="456"/>
      <c r="J33" s="456"/>
      <c r="K33" s="466">
        <f>K32*K31*K30</f>
        <v>40</v>
      </c>
      <c r="L33" s="466">
        <f>L32*L31*L30</f>
        <v>12000</v>
      </c>
      <c r="M33" s="466">
        <f>M32*M31*M30</f>
        <v>120000</v>
      </c>
      <c r="N33" s="466">
        <f>N32*N31*N30</f>
        <v>480000</v>
      </c>
      <c r="O33" s="466">
        <f>O32*O31*O30</f>
        <v>2000000</v>
      </c>
      <c r="P33" s="456"/>
      <c r="Q33" s="456"/>
      <c r="R33" s="456"/>
      <c r="S33" s="456"/>
      <c r="T33" s="456"/>
      <c r="U33" s="456"/>
      <c r="V33" s="458"/>
      <c r="W33" s="459"/>
      <c r="X33" s="460"/>
      <c r="Y33" s="460"/>
      <c r="Z33" s="460"/>
      <c r="AA33" s="460"/>
      <c r="AB33" s="460"/>
      <c r="AC33" s="460"/>
      <c r="AD33" s="460"/>
      <c r="AE33" s="461"/>
    </row>
    <row r="34" spans="1:31" s="462" customFormat="1" ht="16" hidden="1" customHeight="1" x14ac:dyDescent="0.35">
      <c r="A34" s="454"/>
      <c r="B34" s="465" t="s">
        <v>682</v>
      </c>
      <c r="C34" s="456"/>
      <c r="D34" s="456"/>
      <c r="E34" s="456"/>
      <c r="F34" s="456"/>
      <c r="G34" s="456"/>
      <c r="H34" s="456"/>
      <c r="I34" s="456"/>
      <c r="J34" s="456"/>
      <c r="K34" s="466">
        <v>0.5</v>
      </c>
      <c r="L34" s="466">
        <v>0.5</v>
      </c>
      <c r="M34" s="466">
        <v>0.5</v>
      </c>
      <c r="N34" s="466">
        <v>0.5</v>
      </c>
      <c r="O34" s="466">
        <v>0.5</v>
      </c>
      <c r="P34" s="456"/>
      <c r="Q34" s="456"/>
      <c r="R34" s="456"/>
      <c r="S34" s="456"/>
      <c r="T34" s="456"/>
      <c r="U34" s="456"/>
      <c r="V34" s="458"/>
      <c r="W34" s="459"/>
      <c r="X34" s="460"/>
      <c r="Y34" s="460"/>
      <c r="Z34" s="460"/>
      <c r="AA34" s="460"/>
      <c r="AB34" s="460"/>
      <c r="AC34" s="460"/>
      <c r="AD34" s="460"/>
      <c r="AE34" s="461"/>
    </row>
    <row r="35" spans="1:31" s="462" customFormat="1" ht="16" hidden="1" customHeight="1" x14ac:dyDescent="0.35">
      <c r="A35" s="454"/>
      <c r="B35" s="465" t="s">
        <v>681</v>
      </c>
      <c r="C35" s="456"/>
      <c r="D35" s="456"/>
      <c r="E35" s="456"/>
      <c r="F35" s="456"/>
      <c r="G35" s="456"/>
      <c r="H35" s="456"/>
      <c r="I35" s="456"/>
      <c r="J35" s="456"/>
      <c r="K35" s="466">
        <f>K33*K34</f>
        <v>20</v>
      </c>
      <c r="L35" s="466">
        <f>L33*L34</f>
        <v>6000</v>
      </c>
      <c r="M35" s="466">
        <f>M33*M34</f>
        <v>60000</v>
      </c>
      <c r="N35" s="466">
        <f>N33*N34</f>
        <v>240000</v>
      </c>
      <c r="O35" s="466">
        <f>O33*O34</f>
        <v>1000000</v>
      </c>
      <c r="P35" s="456"/>
      <c r="Q35" s="456"/>
      <c r="R35" s="456"/>
      <c r="S35" s="456"/>
      <c r="T35" s="456"/>
      <c r="U35" s="456"/>
      <c r="V35" s="458"/>
      <c r="W35" s="459"/>
      <c r="X35" s="460"/>
      <c r="Y35" s="460"/>
      <c r="Z35" s="460"/>
      <c r="AA35" s="460"/>
      <c r="AB35" s="460"/>
      <c r="AC35" s="460"/>
      <c r="AD35" s="460"/>
      <c r="AE35" s="461"/>
    </row>
    <row r="36" spans="1:31" s="462" customFormat="1" ht="16" hidden="1" customHeight="1" x14ac:dyDescent="0.35">
      <c r="A36" s="454"/>
      <c r="B36" s="465" t="s">
        <v>680</v>
      </c>
      <c r="C36" s="456"/>
      <c r="D36" s="456"/>
      <c r="E36" s="456"/>
      <c r="F36" s="456"/>
      <c r="G36" s="456"/>
      <c r="H36" s="456"/>
      <c r="I36" s="456"/>
      <c r="J36" s="456"/>
      <c r="K36" s="466">
        <f>K33*K34</f>
        <v>20</v>
      </c>
      <c r="L36" s="466">
        <f>L33*L34</f>
        <v>6000</v>
      </c>
      <c r="M36" s="466">
        <f>M33*M34</f>
        <v>60000</v>
      </c>
      <c r="N36" s="466">
        <f>N33*N34</f>
        <v>240000</v>
      </c>
      <c r="O36" s="466">
        <f>O33*O34</f>
        <v>1000000</v>
      </c>
      <c r="P36" s="456"/>
      <c r="Q36" s="456"/>
      <c r="R36" s="456"/>
      <c r="S36" s="456"/>
      <c r="T36" s="456"/>
      <c r="U36" s="456"/>
      <c r="V36" s="458"/>
      <c r="W36" s="459"/>
      <c r="X36" s="460"/>
      <c r="Y36" s="460"/>
      <c r="Z36" s="460"/>
      <c r="AA36" s="460"/>
      <c r="AB36" s="460"/>
      <c r="AC36" s="460"/>
      <c r="AD36" s="460"/>
      <c r="AE36" s="461"/>
    </row>
    <row r="37" spans="1:31" s="462" customFormat="1" ht="16" hidden="1" customHeight="1" x14ac:dyDescent="0.35">
      <c r="A37" s="454"/>
      <c r="B37" s="465" t="s">
        <v>679</v>
      </c>
      <c r="C37" s="456"/>
      <c r="D37" s="456"/>
      <c r="E37" s="456"/>
      <c r="F37" s="466">
        <v>1</v>
      </c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8"/>
      <c r="W37" s="459"/>
      <c r="X37" s="460"/>
      <c r="Y37" s="460"/>
      <c r="Z37" s="460"/>
      <c r="AA37" s="460"/>
      <c r="AB37" s="460"/>
      <c r="AC37" s="460"/>
      <c r="AD37" s="460"/>
      <c r="AE37" s="461"/>
    </row>
    <row r="38" spans="1:31" s="462" customFormat="1" ht="23.15" hidden="1" customHeight="1" x14ac:dyDescent="0.35">
      <c r="A38" s="454"/>
      <c r="B38" s="465" t="s">
        <v>678</v>
      </c>
      <c r="C38" s="456"/>
      <c r="D38" s="456"/>
      <c r="E38" s="456"/>
      <c r="F38" s="482">
        <v>25</v>
      </c>
      <c r="G38" s="456"/>
      <c r="H38" s="483">
        <f>F38*1.2</f>
        <v>30</v>
      </c>
      <c r="I38" s="465" t="s">
        <v>676</v>
      </c>
      <c r="J38" s="456"/>
      <c r="K38" s="482">
        <f>H38</f>
        <v>30</v>
      </c>
      <c r="L38" s="482">
        <f>K38</f>
        <v>30</v>
      </c>
      <c r="M38" s="482">
        <f>L38</f>
        <v>30</v>
      </c>
      <c r="N38" s="482">
        <f>M38</f>
        <v>30</v>
      </c>
      <c r="O38" s="482">
        <f>N38</f>
        <v>30</v>
      </c>
      <c r="P38" s="456"/>
      <c r="Q38" s="456"/>
      <c r="R38" s="456"/>
      <c r="S38" s="456"/>
      <c r="T38" s="456"/>
      <c r="U38" s="456"/>
      <c r="V38" s="458"/>
      <c r="W38" s="459"/>
      <c r="X38" s="460"/>
      <c r="Y38" s="460"/>
      <c r="Z38" s="460"/>
      <c r="AA38" s="460"/>
      <c r="AB38" s="460"/>
      <c r="AC38" s="460"/>
      <c r="AD38" s="460"/>
      <c r="AE38" s="461"/>
    </row>
    <row r="39" spans="1:31" s="462" customFormat="1" ht="23.15" hidden="1" customHeight="1" x14ac:dyDescent="0.35">
      <c r="A39" s="454"/>
      <c r="B39" s="465" t="s">
        <v>688</v>
      </c>
      <c r="C39" s="456"/>
      <c r="D39" s="456"/>
      <c r="E39" s="456"/>
      <c r="F39" s="482">
        <v>75</v>
      </c>
      <c r="G39" s="456"/>
      <c r="H39" s="483">
        <f>F39*1.2</f>
        <v>90</v>
      </c>
      <c r="I39" s="465" t="s">
        <v>676</v>
      </c>
      <c r="J39" s="456"/>
      <c r="K39" s="460"/>
      <c r="L39" s="460"/>
      <c r="M39" s="460"/>
      <c r="N39" s="460"/>
      <c r="O39" s="460"/>
      <c r="P39" s="456"/>
      <c r="Q39" s="456"/>
      <c r="R39" s="456"/>
      <c r="S39" s="456"/>
      <c r="T39" s="456"/>
      <c r="U39" s="456"/>
      <c r="V39" s="458"/>
      <c r="W39" s="459"/>
      <c r="X39" s="460"/>
      <c r="Y39" s="460"/>
      <c r="Z39" s="460"/>
      <c r="AA39" s="460"/>
      <c r="AB39" s="460"/>
      <c r="AC39" s="460"/>
      <c r="AD39" s="460"/>
      <c r="AE39" s="461"/>
    </row>
    <row r="40" spans="1:31" s="462" customFormat="1" ht="16" hidden="1" customHeight="1" x14ac:dyDescent="0.35">
      <c r="A40" s="454"/>
      <c r="B40" s="465" t="s">
        <v>675</v>
      </c>
      <c r="C40" s="456"/>
      <c r="D40" s="456"/>
      <c r="E40" s="456"/>
      <c r="F40" s="456"/>
      <c r="G40" s="456"/>
      <c r="H40" s="456"/>
      <c r="I40" s="456"/>
      <c r="J40" s="456"/>
      <c r="K40" s="480">
        <f>K36*K38</f>
        <v>600</v>
      </c>
      <c r="L40" s="480">
        <f>L36*L38</f>
        <v>180000</v>
      </c>
      <c r="M40" s="480">
        <f>M36*M38</f>
        <v>1800000</v>
      </c>
      <c r="N40" s="480">
        <f>N36*N38</f>
        <v>7200000</v>
      </c>
      <c r="O40" s="480">
        <f>O36*O38</f>
        <v>30000000</v>
      </c>
      <c r="P40" s="456"/>
      <c r="Q40" s="456"/>
      <c r="R40" s="456"/>
      <c r="S40" s="456"/>
      <c r="T40" s="456"/>
      <c r="U40" s="456"/>
      <c r="V40" s="458"/>
      <c r="W40" s="459"/>
      <c r="X40" s="460"/>
      <c r="Y40" s="460"/>
      <c r="Z40" s="460"/>
      <c r="AA40" s="460"/>
      <c r="AB40" s="460"/>
      <c r="AC40" s="460"/>
      <c r="AD40" s="460"/>
      <c r="AE40" s="461"/>
    </row>
    <row r="41" spans="1:31" s="462" customFormat="1" ht="16" hidden="1" customHeight="1" x14ac:dyDescent="0.35">
      <c r="A41" s="454"/>
      <c r="B41" s="456"/>
      <c r="C41" s="456"/>
      <c r="D41" s="456"/>
      <c r="E41" s="456"/>
      <c r="F41" s="456"/>
      <c r="G41" s="456"/>
      <c r="H41" s="456"/>
      <c r="I41" s="456"/>
      <c r="J41" s="456"/>
      <c r="K41" s="480"/>
      <c r="L41" s="480"/>
      <c r="M41" s="480"/>
      <c r="N41" s="480"/>
      <c r="O41" s="480"/>
      <c r="P41" s="456"/>
      <c r="Q41" s="456"/>
      <c r="R41" s="456"/>
      <c r="S41" s="456"/>
      <c r="T41" s="456"/>
      <c r="U41" s="456"/>
      <c r="V41" s="458"/>
      <c r="W41" s="459"/>
      <c r="X41" s="460"/>
      <c r="Y41" s="460"/>
      <c r="Z41" s="460"/>
      <c r="AA41" s="460"/>
      <c r="AB41" s="460"/>
      <c r="AC41" s="460"/>
      <c r="AD41" s="460"/>
      <c r="AE41" s="461"/>
    </row>
    <row r="42" spans="1:31" s="462" customFormat="1" ht="16" hidden="1" customHeight="1" x14ac:dyDescent="0.35">
      <c r="A42" s="454"/>
      <c r="B42" s="456"/>
      <c r="C42" s="456"/>
      <c r="D42" s="456"/>
      <c r="E42" s="456"/>
      <c r="F42" s="456"/>
      <c r="G42" s="456"/>
      <c r="H42" s="456"/>
      <c r="I42" s="456"/>
      <c r="J42" s="456"/>
      <c r="K42" s="465"/>
      <c r="L42" s="480"/>
      <c r="M42" s="480"/>
      <c r="N42" s="480"/>
      <c r="O42" s="480"/>
      <c r="P42" s="456"/>
      <c r="Q42" s="456"/>
      <c r="R42" s="456"/>
      <c r="S42" s="456"/>
      <c r="T42" s="456"/>
      <c r="U42" s="456"/>
      <c r="V42" s="458"/>
      <c r="W42" s="459"/>
      <c r="X42" s="460"/>
      <c r="Y42" s="460"/>
      <c r="Z42" s="460"/>
      <c r="AA42" s="460"/>
      <c r="AB42" s="460"/>
      <c r="AC42" s="460"/>
      <c r="AD42" s="460"/>
      <c r="AE42" s="461"/>
    </row>
    <row r="43" spans="1:31" s="462" customFormat="1" ht="16" hidden="1" customHeight="1" x14ac:dyDescent="0.35">
      <c r="A43" s="484">
        <v>2</v>
      </c>
      <c r="B43" s="485" t="s">
        <v>690</v>
      </c>
      <c r="C43" s="456"/>
      <c r="D43" s="456"/>
      <c r="E43" s="456"/>
      <c r="F43" s="456"/>
      <c r="G43" s="456"/>
      <c r="H43" s="456"/>
      <c r="I43" s="456"/>
      <c r="J43" s="456"/>
      <c r="K43" s="466">
        <v>1</v>
      </c>
      <c r="L43" s="466">
        <v>15</v>
      </c>
      <c r="M43" s="466">
        <v>100</v>
      </c>
      <c r="N43" s="466">
        <v>300</v>
      </c>
      <c r="O43" s="466">
        <v>1000</v>
      </c>
      <c r="P43" s="465" t="s">
        <v>689</v>
      </c>
      <c r="Q43" s="456"/>
      <c r="R43" s="456"/>
      <c r="S43" s="456"/>
      <c r="T43" s="456"/>
      <c r="U43" s="456"/>
      <c r="V43" s="458"/>
      <c r="W43" s="459"/>
      <c r="X43" s="460"/>
      <c r="Y43" s="460"/>
      <c r="Z43" s="460"/>
      <c r="AA43" s="460"/>
      <c r="AB43" s="460"/>
      <c r="AC43" s="460"/>
      <c r="AD43" s="460"/>
      <c r="AE43" s="461"/>
    </row>
    <row r="44" spans="1:31" s="462" customFormat="1" ht="16" hidden="1" customHeight="1" x14ac:dyDescent="0.35">
      <c r="A44" s="454"/>
      <c r="B44" s="465" t="s">
        <v>685</v>
      </c>
      <c r="C44" s="456"/>
      <c r="D44" s="456"/>
      <c r="E44" s="456"/>
      <c r="F44" s="456"/>
      <c r="G44" s="456"/>
      <c r="H44" s="456"/>
      <c r="I44" s="456"/>
      <c r="J44" s="456"/>
      <c r="K44" s="466">
        <v>40</v>
      </c>
      <c r="L44" s="466">
        <v>80</v>
      </c>
      <c r="M44" s="466">
        <v>120</v>
      </c>
      <c r="N44" s="466">
        <v>160</v>
      </c>
      <c r="O44" s="466">
        <v>200</v>
      </c>
      <c r="P44" s="456"/>
      <c r="Q44" s="456"/>
      <c r="R44" s="456"/>
      <c r="S44" s="456"/>
      <c r="T44" s="456"/>
      <c r="U44" s="456"/>
      <c r="V44" s="458"/>
      <c r="W44" s="459"/>
      <c r="X44" s="460"/>
      <c r="Y44" s="460"/>
      <c r="Z44" s="460"/>
      <c r="AA44" s="460"/>
      <c r="AB44" s="460"/>
      <c r="AC44" s="460"/>
      <c r="AD44" s="460"/>
      <c r="AE44" s="461"/>
    </row>
    <row r="45" spans="1:31" s="462" customFormat="1" ht="16" hidden="1" customHeight="1" x14ac:dyDescent="0.35">
      <c r="A45" s="454"/>
      <c r="B45" s="465" t="s">
        <v>684</v>
      </c>
      <c r="C45" s="456"/>
      <c r="D45" s="456"/>
      <c r="E45" s="456"/>
      <c r="F45" s="456"/>
      <c r="G45" s="456"/>
      <c r="H45" s="456"/>
      <c r="I45" s="456"/>
      <c r="J45" s="456"/>
      <c r="K45" s="466">
        <v>1</v>
      </c>
      <c r="L45" s="466">
        <v>10</v>
      </c>
      <c r="M45" s="466">
        <v>10</v>
      </c>
      <c r="N45" s="466">
        <v>10</v>
      </c>
      <c r="O45" s="466">
        <v>10</v>
      </c>
      <c r="P45" s="456"/>
      <c r="Q45" s="456"/>
      <c r="R45" s="456"/>
      <c r="S45" s="456"/>
      <c r="T45" s="456"/>
      <c r="U45" s="456"/>
      <c r="V45" s="458"/>
      <c r="W45" s="459"/>
      <c r="X45" s="460"/>
      <c r="Y45" s="460"/>
      <c r="Z45" s="460"/>
      <c r="AA45" s="460"/>
      <c r="AB45" s="460"/>
      <c r="AC45" s="460"/>
      <c r="AD45" s="460"/>
      <c r="AE45" s="461"/>
    </row>
    <row r="46" spans="1:31" s="462" customFormat="1" ht="15.75" hidden="1" customHeight="1" x14ac:dyDescent="0.35">
      <c r="A46" s="454"/>
      <c r="B46" s="465" t="s">
        <v>683</v>
      </c>
      <c r="C46" s="456"/>
      <c r="D46" s="456"/>
      <c r="E46" s="456"/>
      <c r="F46" s="456"/>
      <c r="G46" s="456"/>
      <c r="H46" s="456"/>
      <c r="I46" s="456"/>
      <c r="J46" s="456"/>
      <c r="K46" s="466">
        <f>K45*K44*K43</f>
        <v>40</v>
      </c>
      <c r="L46" s="466">
        <f>L45*L44*L43</f>
        <v>12000</v>
      </c>
      <c r="M46" s="466">
        <f>M45*M44*M43</f>
        <v>120000</v>
      </c>
      <c r="N46" s="466">
        <f>N45*N44*N43</f>
        <v>480000</v>
      </c>
      <c r="O46" s="466">
        <f>O45*O44*O43</f>
        <v>2000000</v>
      </c>
      <c r="P46" s="456"/>
      <c r="Q46" s="456"/>
      <c r="R46" s="456"/>
      <c r="S46" s="456"/>
      <c r="T46" s="456"/>
      <c r="U46" s="456"/>
      <c r="V46" s="458"/>
      <c r="W46" s="459"/>
      <c r="X46" s="460"/>
      <c r="Y46" s="460"/>
      <c r="Z46" s="460"/>
      <c r="AA46" s="460"/>
      <c r="AB46" s="460"/>
      <c r="AC46" s="460"/>
      <c r="AD46" s="460"/>
      <c r="AE46" s="461"/>
    </row>
    <row r="47" spans="1:31" s="462" customFormat="1" ht="16" hidden="1" customHeight="1" x14ac:dyDescent="0.35">
      <c r="A47" s="454"/>
      <c r="B47" s="465" t="s">
        <v>682</v>
      </c>
      <c r="C47" s="456"/>
      <c r="D47" s="456"/>
      <c r="E47" s="456"/>
      <c r="F47" s="456"/>
      <c r="G47" s="456"/>
      <c r="H47" s="456"/>
      <c r="I47" s="456"/>
      <c r="J47" s="456"/>
      <c r="K47" s="466">
        <v>0.5</v>
      </c>
      <c r="L47" s="466">
        <v>0.5</v>
      </c>
      <c r="M47" s="466">
        <v>0.5</v>
      </c>
      <c r="N47" s="466">
        <v>0.5</v>
      </c>
      <c r="O47" s="466">
        <v>0.5</v>
      </c>
      <c r="P47" s="456"/>
      <c r="Q47" s="456"/>
      <c r="R47" s="456"/>
      <c r="S47" s="456"/>
      <c r="T47" s="456"/>
      <c r="U47" s="456"/>
      <c r="V47" s="458"/>
      <c r="W47" s="459"/>
      <c r="X47" s="460"/>
      <c r="Y47" s="460"/>
      <c r="Z47" s="460"/>
      <c r="AA47" s="460"/>
      <c r="AB47" s="460"/>
      <c r="AC47" s="460"/>
      <c r="AD47" s="460"/>
      <c r="AE47" s="461"/>
    </row>
    <row r="48" spans="1:31" s="462" customFormat="1" ht="16" hidden="1" customHeight="1" x14ac:dyDescent="0.35">
      <c r="A48" s="454"/>
      <c r="B48" s="465" t="s">
        <v>681</v>
      </c>
      <c r="C48" s="456"/>
      <c r="D48" s="456"/>
      <c r="E48" s="456"/>
      <c r="F48" s="456"/>
      <c r="G48" s="456"/>
      <c r="H48" s="456"/>
      <c r="I48" s="456"/>
      <c r="J48" s="456"/>
      <c r="K48" s="466">
        <f>K46*K47</f>
        <v>20</v>
      </c>
      <c r="L48" s="466">
        <f>L46*L47</f>
        <v>6000</v>
      </c>
      <c r="M48" s="466">
        <f>M46*M47</f>
        <v>60000</v>
      </c>
      <c r="N48" s="466">
        <f>N46*N47</f>
        <v>240000</v>
      </c>
      <c r="O48" s="466">
        <f>O46*O47</f>
        <v>1000000</v>
      </c>
      <c r="P48" s="456"/>
      <c r="Q48" s="456"/>
      <c r="R48" s="456"/>
      <c r="S48" s="456"/>
      <c r="T48" s="456"/>
      <c r="U48" s="456"/>
      <c r="V48" s="458"/>
      <c r="W48" s="459"/>
      <c r="X48" s="460"/>
      <c r="Y48" s="460"/>
      <c r="Z48" s="460"/>
      <c r="AA48" s="460"/>
      <c r="AB48" s="460"/>
      <c r="AC48" s="460"/>
      <c r="AD48" s="460"/>
      <c r="AE48" s="461"/>
    </row>
    <row r="49" spans="1:31" s="462" customFormat="1" ht="16" hidden="1" customHeight="1" x14ac:dyDescent="0.35">
      <c r="A49" s="454"/>
      <c r="B49" s="465" t="s">
        <v>680</v>
      </c>
      <c r="C49" s="456"/>
      <c r="D49" s="456"/>
      <c r="E49" s="456"/>
      <c r="F49" s="456"/>
      <c r="G49" s="456"/>
      <c r="H49" s="456"/>
      <c r="I49" s="456"/>
      <c r="J49" s="456"/>
      <c r="K49" s="466">
        <f>K46*K47</f>
        <v>20</v>
      </c>
      <c r="L49" s="466">
        <f>L46*L47</f>
        <v>6000</v>
      </c>
      <c r="M49" s="466">
        <f>M46*M47</f>
        <v>60000</v>
      </c>
      <c r="N49" s="466">
        <f>N46*N47</f>
        <v>240000</v>
      </c>
      <c r="O49" s="466">
        <f>O46*O47</f>
        <v>1000000</v>
      </c>
      <c r="P49" s="456"/>
      <c r="Q49" s="456"/>
      <c r="R49" s="456"/>
      <c r="S49" s="456"/>
      <c r="T49" s="456"/>
      <c r="U49" s="456"/>
      <c r="V49" s="458"/>
      <c r="W49" s="459"/>
      <c r="X49" s="460"/>
      <c r="Y49" s="460"/>
      <c r="Z49" s="460"/>
      <c r="AA49" s="460"/>
      <c r="AB49" s="460"/>
      <c r="AC49" s="460"/>
      <c r="AD49" s="460"/>
      <c r="AE49" s="461"/>
    </row>
    <row r="50" spans="1:31" s="462" customFormat="1" ht="16" hidden="1" customHeight="1" x14ac:dyDescent="0.35">
      <c r="A50" s="454"/>
      <c r="B50" s="465" t="s">
        <v>679</v>
      </c>
      <c r="C50" s="456"/>
      <c r="D50" s="456"/>
      <c r="E50" s="456"/>
      <c r="F50" s="466">
        <v>1</v>
      </c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8"/>
      <c r="W50" s="459"/>
      <c r="X50" s="460"/>
      <c r="Y50" s="460"/>
      <c r="Z50" s="460"/>
      <c r="AA50" s="460"/>
      <c r="AB50" s="460"/>
      <c r="AC50" s="460"/>
      <c r="AD50" s="460"/>
      <c r="AE50" s="461"/>
    </row>
    <row r="51" spans="1:31" s="462" customFormat="1" ht="16" hidden="1" customHeight="1" x14ac:dyDescent="0.35">
      <c r="A51" s="454"/>
      <c r="B51" s="465" t="s">
        <v>678</v>
      </c>
      <c r="C51" s="456"/>
      <c r="D51" s="456"/>
      <c r="E51" s="456"/>
      <c r="F51" s="482">
        <v>30</v>
      </c>
      <c r="G51" s="456"/>
      <c r="H51" s="483">
        <f>F51*1.2</f>
        <v>36</v>
      </c>
      <c r="I51" s="465" t="s">
        <v>676</v>
      </c>
      <c r="J51" s="456"/>
      <c r="K51" s="482">
        <f>H51</f>
        <v>36</v>
      </c>
      <c r="L51" s="482">
        <f>K51</f>
        <v>36</v>
      </c>
      <c r="M51" s="482">
        <f>L51</f>
        <v>36</v>
      </c>
      <c r="N51" s="482">
        <f>M51</f>
        <v>36</v>
      </c>
      <c r="O51" s="482">
        <f>N51</f>
        <v>36</v>
      </c>
      <c r="P51" s="456"/>
      <c r="Q51" s="456"/>
      <c r="R51" s="456"/>
      <c r="S51" s="456"/>
      <c r="T51" s="456"/>
      <c r="U51" s="456"/>
      <c r="V51" s="458"/>
      <c r="W51" s="459"/>
      <c r="X51" s="460"/>
      <c r="Y51" s="460"/>
      <c r="Z51" s="460"/>
      <c r="AA51" s="460"/>
      <c r="AB51" s="460"/>
      <c r="AC51" s="460"/>
      <c r="AD51" s="460"/>
      <c r="AE51" s="461"/>
    </row>
    <row r="52" spans="1:31" s="462" customFormat="1" ht="16" hidden="1" customHeight="1" x14ac:dyDescent="0.35">
      <c r="A52" s="454"/>
      <c r="B52" s="465" t="s">
        <v>688</v>
      </c>
      <c r="C52" s="456"/>
      <c r="D52" s="456"/>
      <c r="E52" s="456"/>
      <c r="F52" s="482">
        <v>90</v>
      </c>
      <c r="G52" s="456"/>
      <c r="H52" s="483">
        <f>F52*1.2</f>
        <v>108</v>
      </c>
      <c r="I52" s="465" t="s">
        <v>676</v>
      </c>
      <c r="J52" s="456"/>
      <c r="K52" s="460"/>
      <c r="L52" s="460"/>
      <c r="M52" s="460"/>
      <c r="N52" s="460"/>
      <c r="O52" s="460"/>
      <c r="P52" s="456"/>
      <c r="Q52" s="456"/>
      <c r="R52" s="456"/>
      <c r="S52" s="456"/>
      <c r="T52" s="456"/>
      <c r="U52" s="456"/>
      <c r="V52" s="458"/>
      <c r="W52" s="459"/>
      <c r="X52" s="460"/>
      <c r="Y52" s="460"/>
      <c r="Z52" s="460"/>
      <c r="AA52" s="460"/>
      <c r="AB52" s="460"/>
      <c r="AC52" s="460"/>
      <c r="AD52" s="460"/>
      <c r="AE52" s="461"/>
    </row>
    <row r="53" spans="1:31" s="462" customFormat="1" ht="16" hidden="1" customHeight="1" x14ac:dyDescent="0.35">
      <c r="A53" s="454"/>
      <c r="B53" s="465" t="s">
        <v>675</v>
      </c>
      <c r="C53" s="456"/>
      <c r="D53" s="456"/>
      <c r="E53" s="456"/>
      <c r="F53" s="456"/>
      <c r="G53" s="456"/>
      <c r="H53" s="456"/>
      <c r="I53" s="456"/>
      <c r="J53" s="456"/>
      <c r="K53" s="480">
        <f>K49*K51</f>
        <v>720</v>
      </c>
      <c r="L53" s="480">
        <f>L49*L51</f>
        <v>216000</v>
      </c>
      <c r="M53" s="480">
        <f>M49*M51</f>
        <v>2160000</v>
      </c>
      <c r="N53" s="480">
        <f>N49*N51</f>
        <v>8640000</v>
      </c>
      <c r="O53" s="480">
        <f>O49*O51</f>
        <v>36000000</v>
      </c>
      <c r="P53" s="456"/>
      <c r="Q53" s="456"/>
      <c r="R53" s="456"/>
      <c r="S53" s="456"/>
      <c r="T53" s="456"/>
      <c r="U53" s="456"/>
      <c r="V53" s="458"/>
      <c r="W53" s="459"/>
      <c r="X53" s="460"/>
      <c r="Y53" s="460"/>
      <c r="Z53" s="460"/>
      <c r="AA53" s="460"/>
      <c r="AB53" s="460"/>
      <c r="AC53" s="460"/>
      <c r="AD53" s="460"/>
      <c r="AE53" s="461"/>
    </row>
    <row r="54" spans="1:31" s="462" customFormat="1" ht="15.75" hidden="1" customHeight="1" x14ac:dyDescent="0.35">
      <c r="A54" s="454"/>
      <c r="B54" s="456"/>
      <c r="C54" s="456"/>
      <c r="D54" s="456"/>
      <c r="E54" s="456"/>
      <c r="F54" s="456"/>
      <c r="G54" s="456"/>
      <c r="H54" s="456"/>
      <c r="I54" s="456"/>
      <c r="J54" s="456"/>
      <c r="K54" s="480"/>
      <c r="L54" s="480"/>
      <c r="M54" s="480"/>
      <c r="N54" s="480"/>
      <c r="O54" s="480"/>
      <c r="P54" s="456"/>
      <c r="Q54" s="456"/>
      <c r="R54" s="456"/>
      <c r="S54" s="456"/>
      <c r="T54" s="456"/>
      <c r="U54" s="456"/>
      <c r="V54" s="458"/>
      <c r="W54" s="459"/>
      <c r="X54" s="460"/>
      <c r="Y54" s="460"/>
      <c r="Z54" s="460"/>
      <c r="AA54" s="460"/>
      <c r="AB54" s="460"/>
      <c r="AC54" s="460"/>
      <c r="AD54" s="460"/>
      <c r="AE54" s="461"/>
    </row>
    <row r="55" spans="1:31" s="462" customFormat="1" ht="15.75" hidden="1" customHeight="1" x14ac:dyDescent="0.35">
      <c r="A55" s="454"/>
      <c r="B55" s="456"/>
      <c r="C55" s="456"/>
      <c r="D55" s="456"/>
      <c r="E55" s="456"/>
      <c r="F55" s="456"/>
      <c r="G55" s="456"/>
      <c r="H55" s="456"/>
      <c r="I55" s="456"/>
      <c r="J55" s="456"/>
      <c r="K55" s="465"/>
      <c r="L55" s="480"/>
      <c r="M55" s="480"/>
      <c r="N55" s="480"/>
      <c r="O55" s="480"/>
      <c r="P55" s="456"/>
      <c r="Q55" s="456"/>
      <c r="R55" s="456"/>
      <c r="S55" s="456"/>
      <c r="T55" s="456"/>
      <c r="U55" s="456"/>
      <c r="V55" s="458"/>
      <c r="W55" s="459"/>
      <c r="X55" s="460"/>
      <c r="Y55" s="460"/>
      <c r="Z55" s="460"/>
      <c r="AA55" s="460"/>
      <c r="AB55" s="460"/>
      <c r="AC55" s="460"/>
      <c r="AD55" s="460"/>
      <c r="AE55" s="461"/>
    </row>
    <row r="56" spans="1:31" s="462" customFormat="1" ht="16" hidden="1" customHeight="1" x14ac:dyDescent="0.35">
      <c r="A56" s="484">
        <v>3</v>
      </c>
      <c r="B56" s="485" t="s">
        <v>687</v>
      </c>
      <c r="C56" s="456"/>
      <c r="D56" s="456"/>
      <c r="E56" s="456"/>
      <c r="F56" s="456"/>
      <c r="G56" s="456"/>
      <c r="H56" s="456"/>
      <c r="I56" s="456"/>
      <c r="J56" s="456"/>
      <c r="K56" s="466">
        <v>0</v>
      </c>
      <c r="L56" s="466">
        <v>10</v>
      </c>
      <c r="M56" s="466">
        <v>20</v>
      </c>
      <c r="N56" s="466">
        <v>50</v>
      </c>
      <c r="O56" s="466">
        <v>100</v>
      </c>
      <c r="P56" s="456"/>
      <c r="Q56" s="456"/>
      <c r="R56" s="456"/>
      <c r="S56" s="456"/>
      <c r="T56" s="456"/>
      <c r="U56" s="456"/>
      <c r="V56" s="458"/>
      <c r="W56" s="459"/>
      <c r="X56" s="460"/>
      <c r="Y56" s="460"/>
      <c r="Z56" s="460"/>
      <c r="AA56" s="460"/>
      <c r="AB56" s="460"/>
      <c r="AC56" s="460"/>
      <c r="AD56" s="460"/>
      <c r="AE56" s="461"/>
    </row>
    <row r="57" spans="1:31" s="462" customFormat="1" ht="16" hidden="1" customHeight="1" x14ac:dyDescent="0.35">
      <c r="A57" s="454"/>
      <c r="B57" s="465" t="s">
        <v>685</v>
      </c>
      <c r="C57" s="456"/>
      <c r="D57" s="456"/>
      <c r="E57" s="456"/>
      <c r="F57" s="456"/>
      <c r="G57" s="456"/>
      <c r="H57" s="456"/>
      <c r="I57" s="456"/>
      <c r="J57" s="456"/>
      <c r="K57" s="466">
        <v>40</v>
      </c>
      <c r="L57" s="466">
        <v>80</v>
      </c>
      <c r="M57" s="466">
        <v>120</v>
      </c>
      <c r="N57" s="466">
        <v>160</v>
      </c>
      <c r="O57" s="466">
        <v>200</v>
      </c>
      <c r="P57" s="456"/>
      <c r="Q57" s="456"/>
      <c r="R57" s="456"/>
      <c r="S57" s="456"/>
      <c r="T57" s="456"/>
      <c r="U57" s="456"/>
      <c r="V57" s="458"/>
      <c r="W57" s="459"/>
      <c r="X57" s="460"/>
      <c r="Y57" s="460"/>
      <c r="Z57" s="460"/>
      <c r="AA57" s="460"/>
      <c r="AB57" s="460"/>
      <c r="AC57" s="460"/>
      <c r="AD57" s="460"/>
      <c r="AE57" s="461"/>
    </row>
    <row r="58" spans="1:31" s="462" customFormat="1" ht="16" hidden="1" customHeight="1" x14ac:dyDescent="0.35">
      <c r="A58" s="454"/>
      <c r="B58" s="465" t="s">
        <v>684</v>
      </c>
      <c r="C58" s="456"/>
      <c r="D58" s="456"/>
      <c r="E58" s="456"/>
      <c r="F58" s="456"/>
      <c r="G58" s="456"/>
      <c r="H58" s="456"/>
      <c r="I58" s="456"/>
      <c r="J58" s="456"/>
      <c r="K58" s="466">
        <v>1</v>
      </c>
      <c r="L58" s="466">
        <v>10</v>
      </c>
      <c r="M58" s="466">
        <v>10</v>
      </c>
      <c r="N58" s="466">
        <v>10</v>
      </c>
      <c r="O58" s="466">
        <v>10</v>
      </c>
      <c r="P58" s="456"/>
      <c r="Q58" s="456"/>
      <c r="R58" s="456"/>
      <c r="S58" s="456"/>
      <c r="T58" s="456"/>
      <c r="U58" s="456"/>
      <c r="V58" s="458"/>
      <c r="W58" s="459"/>
      <c r="X58" s="460"/>
      <c r="Y58" s="460"/>
      <c r="Z58" s="460"/>
      <c r="AA58" s="460"/>
      <c r="AB58" s="460"/>
      <c r="AC58" s="460"/>
      <c r="AD58" s="460"/>
      <c r="AE58" s="461"/>
    </row>
    <row r="59" spans="1:31" s="462" customFormat="1" ht="16" hidden="1" customHeight="1" x14ac:dyDescent="0.35">
      <c r="A59" s="454"/>
      <c r="B59" s="465" t="s">
        <v>683</v>
      </c>
      <c r="C59" s="456"/>
      <c r="D59" s="456"/>
      <c r="E59" s="456"/>
      <c r="F59" s="456"/>
      <c r="G59" s="456"/>
      <c r="H59" s="456"/>
      <c r="I59" s="456"/>
      <c r="J59" s="456"/>
      <c r="K59" s="466">
        <f>K58*K57*K56</f>
        <v>0</v>
      </c>
      <c r="L59" s="466">
        <f>L58*L57*L56</f>
        <v>8000</v>
      </c>
      <c r="M59" s="466">
        <f>M58*M57*M56</f>
        <v>24000</v>
      </c>
      <c r="N59" s="466">
        <f>N58*N57*N56</f>
        <v>80000</v>
      </c>
      <c r="O59" s="466">
        <f>O58*O57*O56</f>
        <v>200000</v>
      </c>
      <c r="P59" s="456"/>
      <c r="Q59" s="456"/>
      <c r="R59" s="456"/>
      <c r="S59" s="456"/>
      <c r="T59" s="456"/>
      <c r="U59" s="456"/>
      <c r="V59" s="458"/>
      <c r="W59" s="459"/>
      <c r="X59" s="460"/>
      <c r="Y59" s="460"/>
      <c r="Z59" s="460"/>
      <c r="AA59" s="460"/>
      <c r="AB59" s="460"/>
      <c r="AC59" s="460"/>
      <c r="AD59" s="460"/>
      <c r="AE59" s="461"/>
    </row>
    <row r="60" spans="1:31" s="462" customFormat="1" ht="16" hidden="1" customHeight="1" x14ac:dyDescent="0.35">
      <c r="A60" s="454"/>
      <c r="B60" s="465" t="s">
        <v>682</v>
      </c>
      <c r="C60" s="456"/>
      <c r="D60" s="456"/>
      <c r="E60" s="456"/>
      <c r="F60" s="456"/>
      <c r="G60" s="456"/>
      <c r="H60" s="456"/>
      <c r="I60" s="456"/>
      <c r="J60" s="456"/>
      <c r="K60" s="466">
        <v>0.5</v>
      </c>
      <c r="L60" s="466">
        <v>0.5</v>
      </c>
      <c r="M60" s="466">
        <v>0.5</v>
      </c>
      <c r="N60" s="466">
        <v>0.5</v>
      </c>
      <c r="O60" s="466">
        <v>0.5</v>
      </c>
      <c r="P60" s="456"/>
      <c r="Q60" s="456"/>
      <c r="R60" s="456"/>
      <c r="S60" s="456"/>
      <c r="T60" s="456"/>
      <c r="U60" s="456"/>
      <c r="V60" s="458"/>
      <c r="W60" s="459"/>
      <c r="X60" s="460"/>
      <c r="Y60" s="460"/>
      <c r="Z60" s="460"/>
      <c r="AA60" s="460"/>
      <c r="AB60" s="460"/>
      <c r="AC60" s="460"/>
      <c r="AD60" s="460"/>
      <c r="AE60" s="461"/>
    </row>
    <row r="61" spans="1:31" s="462" customFormat="1" ht="16" hidden="1" customHeight="1" x14ac:dyDescent="0.35">
      <c r="A61" s="454"/>
      <c r="B61" s="465" t="s">
        <v>681</v>
      </c>
      <c r="C61" s="456"/>
      <c r="D61" s="456"/>
      <c r="E61" s="456"/>
      <c r="F61" s="456"/>
      <c r="G61" s="456"/>
      <c r="H61" s="456"/>
      <c r="I61" s="456"/>
      <c r="J61" s="456"/>
      <c r="K61" s="466">
        <f>K59*K60</f>
        <v>0</v>
      </c>
      <c r="L61" s="466">
        <f>L59*L60</f>
        <v>4000</v>
      </c>
      <c r="M61" s="466">
        <f>M59*M60</f>
        <v>12000</v>
      </c>
      <c r="N61" s="466">
        <f>N59*N60</f>
        <v>40000</v>
      </c>
      <c r="O61" s="466">
        <f>O59*O60</f>
        <v>100000</v>
      </c>
      <c r="P61" s="456"/>
      <c r="Q61" s="456"/>
      <c r="R61" s="456"/>
      <c r="S61" s="456"/>
      <c r="T61" s="456"/>
      <c r="U61" s="456"/>
      <c r="V61" s="458"/>
      <c r="W61" s="459"/>
      <c r="X61" s="460"/>
      <c r="Y61" s="460"/>
      <c r="Z61" s="460"/>
      <c r="AA61" s="460"/>
      <c r="AB61" s="460"/>
      <c r="AC61" s="460"/>
      <c r="AD61" s="460"/>
      <c r="AE61" s="461"/>
    </row>
    <row r="62" spans="1:31" s="462" customFormat="1" ht="16" hidden="1" customHeight="1" x14ac:dyDescent="0.35">
      <c r="A62" s="454"/>
      <c r="B62" s="465" t="s">
        <v>680</v>
      </c>
      <c r="C62" s="456"/>
      <c r="D62" s="456"/>
      <c r="E62" s="456"/>
      <c r="F62" s="456"/>
      <c r="G62" s="456"/>
      <c r="H62" s="456"/>
      <c r="I62" s="456"/>
      <c r="J62" s="456"/>
      <c r="K62" s="466">
        <f>K59*K60</f>
        <v>0</v>
      </c>
      <c r="L62" s="466">
        <f>L59*L60</f>
        <v>4000</v>
      </c>
      <c r="M62" s="466">
        <f>M59*M60</f>
        <v>12000</v>
      </c>
      <c r="N62" s="466">
        <f>N59*N60</f>
        <v>40000</v>
      </c>
      <c r="O62" s="466">
        <f>O59*O60</f>
        <v>100000</v>
      </c>
      <c r="P62" s="456"/>
      <c r="Q62" s="456"/>
      <c r="R62" s="456"/>
      <c r="S62" s="456"/>
      <c r="T62" s="456"/>
      <c r="U62" s="456"/>
      <c r="V62" s="458"/>
      <c r="W62" s="459"/>
      <c r="X62" s="460"/>
      <c r="Y62" s="460"/>
      <c r="Z62" s="460"/>
      <c r="AA62" s="460"/>
      <c r="AB62" s="460"/>
      <c r="AC62" s="460"/>
      <c r="AD62" s="460"/>
      <c r="AE62" s="461"/>
    </row>
    <row r="63" spans="1:31" s="462" customFormat="1" ht="16" hidden="1" customHeight="1" x14ac:dyDescent="0.35">
      <c r="A63" s="454"/>
      <c r="B63" s="465" t="s">
        <v>679</v>
      </c>
      <c r="C63" s="456"/>
      <c r="D63" s="456"/>
      <c r="E63" s="456"/>
      <c r="F63" s="466">
        <v>1</v>
      </c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8"/>
      <c r="W63" s="459"/>
      <c r="X63" s="460"/>
      <c r="Y63" s="460"/>
      <c r="Z63" s="460"/>
      <c r="AA63" s="460"/>
      <c r="AB63" s="460"/>
      <c r="AC63" s="460"/>
      <c r="AD63" s="460"/>
      <c r="AE63" s="461"/>
    </row>
    <row r="64" spans="1:31" s="462" customFormat="1" ht="16" hidden="1" customHeight="1" x14ac:dyDescent="0.35">
      <c r="A64" s="454"/>
      <c r="B64" s="465" t="s">
        <v>678</v>
      </c>
      <c r="C64" s="456"/>
      <c r="D64" s="456"/>
      <c r="E64" s="456"/>
      <c r="F64" s="482">
        <v>35</v>
      </c>
      <c r="G64" s="456"/>
      <c r="H64" s="483">
        <f>F64*1.2</f>
        <v>42</v>
      </c>
      <c r="I64" s="465" t="s">
        <v>676</v>
      </c>
      <c r="J64" s="456"/>
      <c r="K64" s="482">
        <f>H64</f>
        <v>42</v>
      </c>
      <c r="L64" s="482">
        <f>K64</f>
        <v>42</v>
      </c>
      <c r="M64" s="482">
        <f>L64</f>
        <v>42</v>
      </c>
      <c r="N64" s="482">
        <f>M64</f>
        <v>42</v>
      </c>
      <c r="O64" s="482">
        <f>N64</f>
        <v>42</v>
      </c>
      <c r="P64" s="456"/>
      <c r="Q64" s="456"/>
      <c r="R64" s="456"/>
      <c r="S64" s="456"/>
      <c r="T64" s="456"/>
      <c r="U64" s="456"/>
      <c r="V64" s="458"/>
      <c r="W64" s="459"/>
      <c r="X64" s="460"/>
      <c r="Y64" s="460"/>
      <c r="Z64" s="460"/>
      <c r="AA64" s="460"/>
      <c r="AB64" s="460"/>
      <c r="AC64" s="460"/>
      <c r="AD64" s="460"/>
      <c r="AE64" s="461"/>
    </row>
    <row r="65" spans="1:31" s="462" customFormat="1" ht="16" hidden="1" customHeight="1" x14ac:dyDescent="0.35">
      <c r="A65" s="454"/>
      <c r="B65" s="465" t="s">
        <v>677</v>
      </c>
      <c r="C65" s="456"/>
      <c r="D65" s="456"/>
      <c r="E65" s="456"/>
      <c r="F65" s="482">
        <v>95</v>
      </c>
      <c r="G65" s="456"/>
      <c r="H65" s="483">
        <f>F65*1.2</f>
        <v>114</v>
      </c>
      <c r="I65" s="465" t="s">
        <v>676</v>
      </c>
      <c r="J65" s="456"/>
      <c r="K65" s="460"/>
      <c r="L65" s="460"/>
      <c r="M65" s="460"/>
      <c r="N65" s="460"/>
      <c r="O65" s="460"/>
      <c r="P65" s="456"/>
      <c r="Q65" s="456"/>
      <c r="R65" s="456"/>
      <c r="S65" s="456"/>
      <c r="T65" s="456"/>
      <c r="U65" s="456"/>
      <c r="V65" s="458"/>
      <c r="W65" s="459"/>
      <c r="X65" s="460"/>
      <c r="Y65" s="460"/>
      <c r="Z65" s="460"/>
      <c r="AA65" s="460"/>
      <c r="AB65" s="460"/>
      <c r="AC65" s="460"/>
      <c r="AD65" s="460"/>
      <c r="AE65" s="461"/>
    </row>
    <row r="66" spans="1:31" s="462" customFormat="1" ht="16" hidden="1" customHeight="1" x14ac:dyDescent="0.35">
      <c r="A66" s="454"/>
      <c r="B66" s="465" t="s">
        <v>675</v>
      </c>
      <c r="C66" s="456"/>
      <c r="D66" s="456"/>
      <c r="E66" s="456"/>
      <c r="F66" s="456"/>
      <c r="G66" s="456"/>
      <c r="H66" s="456"/>
      <c r="I66" s="456"/>
      <c r="J66" s="456"/>
      <c r="K66" s="480">
        <f>K62*K64</f>
        <v>0</v>
      </c>
      <c r="L66" s="480">
        <f>L62*L64</f>
        <v>168000</v>
      </c>
      <c r="M66" s="480">
        <f>M62*M64</f>
        <v>504000</v>
      </c>
      <c r="N66" s="480">
        <f>N62*N64</f>
        <v>1680000</v>
      </c>
      <c r="O66" s="480">
        <f>O62*O64</f>
        <v>4200000</v>
      </c>
      <c r="P66" s="456"/>
      <c r="Q66" s="456"/>
      <c r="R66" s="456"/>
      <c r="S66" s="456"/>
      <c r="T66" s="456"/>
      <c r="U66" s="456"/>
      <c r="V66" s="458"/>
      <c r="W66" s="459"/>
      <c r="X66" s="460"/>
      <c r="Y66" s="460"/>
      <c r="Z66" s="460"/>
      <c r="AA66" s="460"/>
      <c r="AB66" s="460"/>
      <c r="AC66" s="460"/>
      <c r="AD66" s="460"/>
      <c r="AE66" s="461"/>
    </row>
    <row r="67" spans="1:31" s="462" customFormat="1" ht="16" hidden="1" customHeight="1" x14ac:dyDescent="0.35">
      <c r="A67" s="454"/>
      <c r="B67" s="456"/>
      <c r="C67" s="456"/>
      <c r="D67" s="456"/>
      <c r="E67" s="456"/>
      <c r="F67" s="456"/>
      <c r="G67" s="456"/>
      <c r="H67" s="456"/>
      <c r="I67" s="456"/>
      <c r="J67" s="456"/>
      <c r="K67" s="480"/>
      <c r="L67" s="480"/>
      <c r="M67" s="480"/>
      <c r="N67" s="480"/>
      <c r="O67" s="480"/>
      <c r="P67" s="456"/>
      <c r="Q67" s="456"/>
      <c r="R67" s="456"/>
      <c r="S67" s="456"/>
      <c r="T67" s="456"/>
      <c r="U67" s="456"/>
      <c r="V67" s="458"/>
      <c r="W67" s="459"/>
      <c r="X67" s="460"/>
      <c r="Y67" s="460"/>
      <c r="Z67" s="460"/>
      <c r="AA67" s="460"/>
      <c r="AB67" s="460"/>
      <c r="AC67" s="460"/>
      <c r="AD67" s="460"/>
      <c r="AE67" s="461"/>
    </row>
    <row r="68" spans="1:31" s="462" customFormat="1" ht="16" hidden="1" customHeight="1" x14ac:dyDescent="0.35">
      <c r="A68" s="454"/>
      <c r="B68" s="456"/>
      <c r="C68" s="456"/>
      <c r="D68" s="456"/>
      <c r="E68" s="456"/>
      <c r="F68" s="456"/>
      <c r="G68" s="456"/>
      <c r="H68" s="456"/>
      <c r="I68" s="456"/>
      <c r="J68" s="456"/>
      <c r="K68" s="465"/>
      <c r="L68" s="480"/>
      <c r="M68" s="480"/>
      <c r="N68" s="480"/>
      <c r="O68" s="480"/>
      <c r="P68" s="456"/>
      <c r="Q68" s="456"/>
      <c r="R68" s="456"/>
      <c r="S68" s="456"/>
      <c r="T68" s="456"/>
      <c r="U68" s="456"/>
      <c r="V68" s="458"/>
      <c r="W68" s="459"/>
      <c r="X68" s="460"/>
      <c r="Y68" s="460"/>
      <c r="Z68" s="460"/>
      <c r="AA68" s="460"/>
      <c r="AB68" s="460"/>
      <c r="AC68" s="460"/>
      <c r="AD68" s="460"/>
      <c r="AE68" s="461"/>
    </row>
    <row r="69" spans="1:31" s="462" customFormat="1" ht="16" hidden="1" customHeight="1" x14ac:dyDescent="0.35">
      <c r="A69" s="484">
        <v>4</v>
      </c>
      <c r="B69" s="485" t="s">
        <v>686</v>
      </c>
      <c r="C69" s="456"/>
      <c r="D69" s="456"/>
      <c r="E69" s="456"/>
      <c r="F69" s="456"/>
      <c r="G69" s="456"/>
      <c r="H69" s="456"/>
      <c r="I69" s="456"/>
      <c r="J69" s="456"/>
      <c r="K69" s="466">
        <v>3</v>
      </c>
      <c r="L69" s="466">
        <v>50</v>
      </c>
      <c r="M69" s="466">
        <v>100</v>
      </c>
      <c r="N69" s="466">
        <v>250</v>
      </c>
      <c r="O69" s="466">
        <v>500</v>
      </c>
      <c r="P69" s="456"/>
      <c r="Q69" s="456"/>
      <c r="R69" s="456"/>
      <c r="S69" s="456"/>
      <c r="T69" s="456"/>
      <c r="U69" s="456"/>
      <c r="V69" s="458"/>
      <c r="W69" s="459"/>
      <c r="X69" s="460"/>
      <c r="Y69" s="460"/>
      <c r="Z69" s="460"/>
      <c r="AA69" s="460"/>
      <c r="AB69" s="460"/>
      <c r="AC69" s="460"/>
      <c r="AD69" s="460"/>
      <c r="AE69" s="461"/>
    </row>
    <row r="70" spans="1:31" s="462" customFormat="1" ht="16" hidden="1" customHeight="1" x14ac:dyDescent="0.35">
      <c r="A70" s="454"/>
      <c r="B70" s="465" t="s">
        <v>685</v>
      </c>
      <c r="C70" s="456"/>
      <c r="D70" s="456"/>
      <c r="E70" s="456"/>
      <c r="F70" s="456"/>
      <c r="G70" s="456"/>
      <c r="H70" s="456"/>
      <c r="I70" s="456"/>
      <c r="J70" s="456"/>
      <c r="K70" s="466">
        <v>40</v>
      </c>
      <c r="L70" s="466">
        <v>80</v>
      </c>
      <c r="M70" s="466">
        <v>120</v>
      </c>
      <c r="N70" s="466">
        <v>160</v>
      </c>
      <c r="O70" s="466">
        <v>200</v>
      </c>
      <c r="P70" s="456"/>
      <c r="Q70" s="456"/>
      <c r="R70" s="456"/>
      <c r="S70" s="456"/>
      <c r="T70" s="456"/>
      <c r="U70" s="456"/>
      <c r="V70" s="458"/>
      <c r="W70" s="459"/>
      <c r="X70" s="460"/>
      <c r="Y70" s="460"/>
      <c r="Z70" s="460"/>
      <c r="AA70" s="460"/>
      <c r="AB70" s="460"/>
      <c r="AC70" s="460"/>
      <c r="AD70" s="460"/>
      <c r="AE70" s="461"/>
    </row>
    <row r="71" spans="1:31" s="462" customFormat="1" ht="16" hidden="1" customHeight="1" x14ac:dyDescent="0.35">
      <c r="A71" s="454"/>
      <c r="B71" s="465" t="s">
        <v>684</v>
      </c>
      <c r="C71" s="456"/>
      <c r="D71" s="456"/>
      <c r="E71" s="456"/>
      <c r="F71" s="456"/>
      <c r="G71" s="456"/>
      <c r="H71" s="456"/>
      <c r="I71" s="456"/>
      <c r="J71" s="456"/>
      <c r="K71" s="466">
        <v>1</v>
      </c>
      <c r="L71" s="466">
        <v>10</v>
      </c>
      <c r="M71" s="466">
        <v>10</v>
      </c>
      <c r="N71" s="466">
        <v>10</v>
      </c>
      <c r="O71" s="466">
        <v>10</v>
      </c>
      <c r="P71" s="456"/>
      <c r="Q71" s="456"/>
      <c r="R71" s="456"/>
      <c r="S71" s="456"/>
      <c r="T71" s="456"/>
      <c r="U71" s="456"/>
      <c r="V71" s="458"/>
      <c r="W71" s="459"/>
      <c r="X71" s="460"/>
      <c r="Y71" s="460"/>
      <c r="Z71" s="460"/>
      <c r="AA71" s="460"/>
      <c r="AB71" s="460"/>
      <c r="AC71" s="460"/>
      <c r="AD71" s="460"/>
      <c r="AE71" s="461"/>
    </row>
    <row r="72" spans="1:31" s="462" customFormat="1" ht="16" hidden="1" customHeight="1" x14ac:dyDescent="0.35">
      <c r="A72" s="454"/>
      <c r="B72" s="465" t="s">
        <v>683</v>
      </c>
      <c r="C72" s="456"/>
      <c r="D72" s="456"/>
      <c r="E72" s="456"/>
      <c r="F72" s="456"/>
      <c r="G72" s="456"/>
      <c r="H72" s="456"/>
      <c r="I72" s="456"/>
      <c r="J72" s="456"/>
      <c r="K72" s="466">
        <f>K71*K70*K69</f>
        <v>120</v>
      </c>
      <c r="L72" s="466">
        <f>L71*L70*L69</f>
        <v>40000</v>
      </c>
      <c r="M72" s="466">
        <f>M71*M70*M69</f>
        <v>120000</v>
      </c>
      <c r="N72" s="466">
        <f>N71*N70*N69</f>
        <v>400000</v>
      </c>
      <c r="O72" s="466">
        <f>O71*O70*O69</f>
        <v>1000000</v>
      </c>
      <c r="P72" s="456"/>
      <c r="Q72" s="456"/>
      <c r="R72" s="456"/>
      <c r="S72" s="456"/>
      <c r="T72" s="456"/>
      <c r="U72" s="456"/>
      <c r="V72" s="458"/>
      <c r="W72" s="459"/>
      <c r="X72" s="460"/>
      <c r="Y72" s="460"/>
      <c r="Z72" s="460"/>
      <c r="AA72" s="460"/>
      <c r="AB72" s="460"/>
      <c r="AC72" s="460"/>
      <c r="AD72" s="460"/>
      <c r="AE72" s="461"/>
    </row>
    <row r="73" spans="1:31" s="462" customFormat="1" ht="16" hidden="1" customHeight="1" x14ac:dyDescent="0.35">
      <c r="A73" s="454"/>
      <c r="B73" s="465" t="s">
        <v>682</v>
      </c>
      <c r="C73" s="456"/>
      <c r="D73" s="456"/>
      <c r="E73" s="456"/>
      <c r="F73" s="456"/>
      <c r="G73" s="456"/>
      <c r="H73" s="456"/>
      <c r="I73" s="456"/>
      <c r="J73" s="456"/>
      <c r="K73" s="466">
        <v>0.5</v>
      </c>
      <c r="L73" s="466">
        <v>0.5</v>
      </c>
      <c r="M73" s="466">
        <v>0.5</v>
      </c>
      <c r="N73" s="466">
        <v>0.5</v>
      </c>
      <c r="O73" s="466">
        <v>0.5</v>
      </c>
      <c r="P73" s="456"/>
      <c r="Q73" s="456"/>
      <c r="R73" s="456"/>
      <c r="S73" s="456"/>
      <c r="T73" s="456"/>
      <c r="U73" s="456"/>
      <c r="V73" s="458"/>
      <c r="W73" s="459"/>
      <c r="X73" s="460"/>
      <c r="Y73" s="460"/>
      <c r="Z73" s="460"/>
      <c r="AA73" s="460"/>
      <c r="AB73" s="460"/>
      <c r="AC73" s="460"/>
      <c r="AD73" s="460"/>
      <c r="AE73" s="461"/>
    </row>
    <row r="74" spans="1:31" s="462" customFormat="1" ht="16" hidden="1" customHeight="1" x14ac:dyDescent="0.35">
      <c r="A74" s="454"/>
      <c r="B74" s="465" t="s">
        <v>681</v>
      </c>
      <c r="C74" s="456"/>
      <c r="D74" s="456"/>
      <c r="E74" s="456"/>
      <c r="F74" s="456"/>
      <c r="G74" s="456"/>
      <c r="H74" s="456"/>
      <c r="I74" s="456"/>
      <c r="J74" s="456"/>
      <c r="K74" s="466">
        <f>K72*K73</f>
        <v>60</v>
      </c>
      <c r="L74" s="466">
        <f>L72*L73</f>
        <v>20000</v>
      </c>
      <c r="M74" s="466">
        <f>M72*M73</f>
        <v>60000</v>
      </c>
      <c r="N74" s="466">
        <f>N72*N73</f>
        <v>200000</v>
      </c>
      <c r="O74" s="466">
        <f>O72*O73</f>
        <v>500000</v>
      </c>
      <c r="P74" s="456"/>
      <c r="Q74" s="456"/>
      <c r="R74" s="456"/>
      <c r="S74" s="456"/>
      <c r="T74" s="456"/>
      <c r="U74" s="456"/>
      <c r="V74" s="458"/>
      <c r="W74" s="459"/>
      <c r="X74" s="460"/>
      <c r="Y74" s="460"/>
      <c r="Z74" s="460"/>
      <c r="AA74" s="460"/>
      <c r="AB74" s="460"/>
      <c r="AC74" s="460"/>
      <c r="AD74" s="460"/>
      <c r="AE74" s="461"/>
    </row>
    <row r="75" spans="1:31" s="462" customFormat="1" ht="16" hidden="1" customHeight="1" x14ac:dyDescent="0.35">
      <c r="A75" s="454"/>
      <c r="B75" s="465" t="s">
        <v>680</v>
      </c>
      <c r="C75" s="456"/>
      <c r="D75" s="456"/>
      <c r="E75" s="456"/>
      <c r="F75" s="456"/>
      <c r="G75" s="456"/>
      <c r="H75" s="456"/>
      <c r="I75" s="456"/>
      <c r="J75" s="456"/>
      <c r="K75" s="466">
        <f>K72*K73</f>
        <v>60</v>
      </c>
      <c r="L75" s="466">
        <f>L72*L73</f>
        <v>20000</v>
      </c>
      <c r="M75" s="466">
        <f>M72*M73</f>
        <v>60000</v>
      </c>
      <c r="N75" s="466">
        <f>N72*N73</f>
        <v>200000</v>
      </c>
      <c r="O75" s="466">
        <f>O72*O73</f>
        <v>500000</v>
      </c>
      <c r="P75" s="456"/>
      <c r="Q75" s="456"/>
      <c r="R75" s="456"/>
      <c r="S75" s="456"/>
      <c r="T75" s="456"/>
      <c r="U75" s="456"/>
      <c r="V75" s="458"/>
      <c r="W75" s="459"/>
      <c r="X75" s="460"/>
      <c r="Y75" s="460"/>
      <c r="Z75" s="460"/>
      <c r="AA75" s="460"/>
      <c r="AB75" s="460"/>
      <c r="AC75" s="460"/>
      <c r="AD75" s="460"/>
      <c r="AE75" s="461"/>
    </row>
    <row r="76" spans="1:31" s="462" customFormat="1" ht="16" hidden="1" customHeight="1" x14ac:dyDescent="0.35">
      <c r="A76" s="454"/>
      <c r="B76" s="465" t="s">
        <v>679</v>
      </c>
      <c r="C76" s="456"/>
      <c r="D76" s="456"/>
      <c r="E76" s="456"/>
      <c r="F76" s="466">
        <v>1</v>
      </c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8"/>
      <c r="W76" s="459"/>
      <c r="X76" s="460"/>
      <c r="Y76" s="460"/>
      <c r="Z76" s="460"/>
      <c r="AA76" s="460"/>
      <c r="AB76" s="460"/>
      <c r="AC76" s="460"/>
      <c r="AD76" s="460"/>
      <c r="AE76" s="461"/>
    </row>
    <row r="77" spans="1:31" s="462" customFormat="1" ht="16" hidden="1" customHeight="1" x14ac:dyDescent="0.35">
      <c r="A77" s="454"/>
      <c r="B77" s="465" t="s">
        <v>678</v>
      </c>
      <c r="C77" s="456"/>
      <c r="D77" s="456"/>
      <c r="E77" s="456"/>
      <c r="F77" s="482">
        <v>45</v>
      </c>
      <c r="G77" s="456"/>
      <c r="H77" s="483">
        <f>F77*1.2</f>
        <v>54</v>
      </c>
      <c r="I77" s="465" t="s">
        <v>676</v>
      </c>
      <c r="J77" s="456"/>
      <c r="K77" s="482">
        <f>H77</f>
        <v>54</v>
      </c>
      <c r="L77" s="482">
        <f>K77</f>
        <v>54</v>
      </c>
      <c r="M77" s="482">
        <f>L77</f>
        <v>54</v>
      </c>
      <c r="N77" s="482">
        <f>M77</f>
        <v>54</v>
      </c>
      <c r="O77" s="482">
        <f>N77</f>
        <v>54</v>
      </c>
      <c r="P77" s="456"/>
      <c r="Q77" s="456"/>
      <c r="R77" s="456"/>
      <c r="S77" s="456"/>
      <c r="T77" s="456"/>
      <c r="U77" s="456"/>
      <c r="V77" s="458"/>
      <c r="W77" s="459"/>
      <c r="X77" s="460"/>
      <c r="Y77" s="460"/>
      <c r="Z77" s="460"/>
      <c r="AA77" s="460"/>
      <c r="AB77" s="460"/>
      <c r="AC77" s="460"/>
      <c r="AD77" s="460"/>
      <c r="AE77" s="461"/>
    </row>
    <row r="78" spans="1:31" s="462" customFormat="1" ht="16" hidden="1" customHeight="1" x14ac:dyDescent="0.35">
      <c r="A78" s="454"/>
      <c r="B78" s="465" t="s">
        <v>677</v>
      </c>
      <c r="C78" s="456"/>
      <c r="D78" s="456"/>
      <c r="E78" s="456"/>
      <c r="F78" s="482">
        <v>135</v>
      </c>
      <c r="G78" s="456"/>
      <c r="H78" s="483">
        <f>F78*1.2</f>
        <v>162</v>
      </c>
      <c r="I78" s="465" t="s">
        <v>676</v>
      </c>
      <c r="J78" s="456"/>
      <c r="K78" s="460"/>
      <c r="L78" s="460"/>
      <c r="M78" s="460"/>
      <c r="N78" s="460"/>
      <c r="O78" s="460"/>
      <c r="P78" s="456"/>
      <c r="Q78" s="456"/>
      <c r="R78" s="456"/>
      <c r="S78" s="456"/>
      <c r="T78" s="456"/>
      <c r="U78" s="456"/>
      <c r="V78" s="458"/>
      <c r="W78" s="459"/>
      <c r="X78" s="460"/>
      <c r="Y78" s="460"/>
      <c r="Z78" s="460"/>
      <c r="AA78" s="460"/>
      <c r="AB78" s="460"/>
      <c r="AC78" s="460"/>
      <c r="AD78" s="460"/>
      <c r="AE78" s="461"/>
    </row>
    <row r="79" spans="1:31" s="462" customFormat="1" ht="16" hidden="1" customHeight="1" x14ac:dyDescent="0.35">
      <c r="A79" s="454"/>
      <c r="B79" s="465" t="s">
        <v>675</v>
      </c>
      <c r="C79" s="456"/>
      <c r="D79" s="456"/>
      <c r="E79" s="456"/>
      <c r="F79" s="456"/>
      <c r="G79" s="456"/>
      <c r="H79" s="456"/>
      <c r="I79" s="456"/>
      <c r="J79" s="456"/>
      <c r="K79" s="480">
        <f>K75*K77</f>
        <v>3240</v>
      </c>
      <c r="L79" s="480">
        <f>L75*L77</f>
        <v>1080000</v>
      </c>
      <c r="M79" s="480">
        <f>M75*M77</f>
        <v>3240000</v>
      </c>
      <c r="N79" s="480">
        <f>N75*N77</f>
        <v>10800000</v>
      </c>
      <c r="O79" s="480">
        <f>O75*O77</f>
        <v>27000000</v>
      </c>
      <c r="P79" s="456"/>
      <c r="Q79" s="456"/>
      <c r="R79" s="456"/>
      <c r="S79" s="456"/>
      <c r="T79" s="456"/>
      <c r="U79" s="456"/>
      <c r="V79" s="458"/>
      <c r="W79" s="459"/>
      <c r="X79" s="460"/>
      <c r="Y79" s="460"/>
      <c r="Z79" s="460"/>
      <c r="AA79" s="460"/>
      <c r="AB79" s="460"/>
      <c r="AC79" s="460"/>
      <c r="AD79" s="460"/>
      <c r="AE79" s="461"/>
    </row>
    <row r="80" spans="1:31" s="462" customFormat="1" ht="16" hidden="1" customHeight="1" x14ac:dyDescent="0.35">
      <c r="A80" s="454"/>
      <c r="B80" s="456"/>
      <c r="C80" s="456"/>
      <c r="D80" s="456"/>
      <c r="E80" s="456"/>
      <c r="F80" s="456"/>
      <c r="G80" s="456"/>
      <c r="H80" s="456"/>
      <c r="I80" s="456"/>
      <c r="J80" s="456"/>
      <c r="K80" s="480"/>
      <c r="L80" s="480"/>
      <c r="M80" s="480"/>
      <c r="N80" s="480"/>
      <c r="O80" s="480"/>
      <c r="P80" s="456"/>
      <c r="Q80" s="456"/>
      <c r="R80" s="456"/>
      <c r="S80" s="456"/>
      <c r="T80" s="456"/>
      <c r="U80" s="456"/>
      <c r="V80" s="458"/>
      <c r="W80" s="459"/>
      <c r="X80" s="460"/>
      <c r="Y80" s="460"/>
      <c r="Z80" s="460"/>
      <c r="AA80" s="460"/>
      <c r="AB80" s="460"/>
      <c r="AC80" s="460"/>
      <c r="AD80" s="460"/>
      <c r="AE80" s="461"/>
    </row>
    <row r="81" spans="1:31" s="462" customFormat="1" ht="16" hidden="1" customHeight="1" x14ac:dyDescent="0.35">
      <c r="A81" s="454"/>
      <c r="B81" s="465" t="s">
        <v>674</v>
      </c>
      <c r="C81" s="456"/>
      <c r="D81" s="456"/>
      <c r="E81" s="456"/>
      <c r="F81" s="456"/>
      <c r="G81" s="456"/>
      <c r="H81" s="456"/>
      <c r="I81" s="456"/>
      <c r="J81" s="456"/>
      <c r="K81" s="480">
        <f>K6</f>
        <v>6</v>
      </c>
      <c r="L81" s="480">
        <f>L6</f>
        <v>15</v>
      </c>
      <c r="M81" s="480">
        <f>M6</f>
        <v>24</v>
      </c>
      <c r="N81" s="480">
        <f>N6</f>
        <v>32</v>
      </c>
      <c r="O81" s="480">
        <f>O6</f>
        <v>40</v>
      </c>
      <c r="P81" s="456"/>
      <c r="Q81" s="456"/>
      <c r="R81" s="456"/>
      <c r="S81" s="456"/>
      <c r="T81" s="456"/>
      <c r="U81" s="456"/>
      <c r="V81" s="458"/>
      <c r="W81" s="459"/>
      <c r="X81" s="460"/>
      <c r="Y81" s="460"/>
      <c r="Z81" s="460"/>
      <c r="AA81" s="460"/>
      <c r="AB81" s="460"/>
      <c r="AC81" s="460"/>
      <c r="AD81" s="460"/>
      <c r="AE81" s="461"/>
    </row>
    <row r="82" spans="1:31" s="462" customFormat="1" ht="16" hidden="1" customHeight="1" x14ac:dyDescent="0.35">
      <c r="A82" s="454"/>
      <c r="B82" s="465" t="s">
        <v>673</v>
      </c>
      <c r="C82" s="456"/>
      <c r="D82" s="456"/>
      <c r="E82" s="456"/>
      <c r="F82" s="456"/>
      <c r="G82" s="456"/>
      <c r="H82" s="456"/>
      <c r="I82" s="456"/>
      <c r="J82" s="456"/>
      <c r="K82" s="480">
        <f>K18</f>
        <v>10</v>
      </c>
      <c r="L82" s="480">
        <f>L18</f>
        <v>20</v>
      </c>
      <c r="M82" s="480">
        <f>M18</f>
        <v>60</v>
      </c>
      <c r="N82" s="480">
        <f>N18</f>
        <v>180</v>
      </c>
      <c r="O82" s="480">
        <f>O18</f>
        <v>500</v>
      </c>
      <c r="P82" s="456"/>
      <c r="Q82" s="456"/>
      <c r="R82" s="456"/>
      <c r="S82" s="456"/>
      <c r="T82" s="456"/>
      <c r="U82" s="456"/>
      <c r="V82" s="458"/>
      <c r="W82" s="459"/>
      <c r="X82" s="460"/>
      <c r="Y82" s="460"/>
      <c r="Z82" s="460"/>
      <c r="AA82" s="460"/>
      <c r="AB82" s="460"/>
      <c r="AC82" s="460"/>
      <c r="AD82" s="460"/>
      <c r="AE82" s="461"/>
    </row>
    <row r="83" spans="1:31" s="462" customFormat="1" ht="16" hidden="1" customHeight="1" x14ac:dyDescent="0.35">
      <c r="A83" s="454"/>
      <c r="B83" s="465" t="s">
        <v>671</v>
      </c>
      <c r="C83" s="456"/>
      <c r="D83" s="456"/>
      <c r="E83" s="456"/>
      <c r="F83" s="456"/>
      <c r="G83" s="456"/>
      <c r="H83" s="456"/>
      <c r="I83" s="456"/>
      <c r="J83" s="456"/>
      <c r="K83" s="480">
        <f>K30</f>
        <v>1</v>
      </c>
      <c r="L83" s="480">
        <f>L30</f>
        <v>15</v>
      </c>
      <c r="M83" s="480">
        <f>M30</f>
        <v>100</v>
      </c>
      <c r="N83" s="480">
        <f>N30</f>
        <v>300</v>
      </c>
      <c r="O83" s="480">
        <f>O30</f>
        <v>1000</v>
      </c>
      <c r="P83" s="456"/>
      <c r="Q83" s="456"/>
      <c r="R83" s="456"/>
      <c r="S83" s="456"/>
      <c r="T83" s="456"/>
      <c r="U83" s="456"/>
      <c r="V83" s="458"/>
      <c r="W83" s="459"/>
      <c r="X83" s="460"/>
      <c r="Y83" s="460"/>
      <c r="Z83" s="460"/>
      <c r="AA83" s="460"/>
      <c r="AB83" s="460"/>
      <c r="AC83" s="460"/>
      <c r="AD83" s="460"/>
      <c r="AE83" s="461"/>
    </row>
    <row r="84" spans="1:31" s="462" customFormat="1" ht="16" customHeight="1" x14ac:dyDescent="0.35">
      <c r="A84" s="454"/>
      <c r="B84" s="455"/>
      <c r="C84" s="456"/>
      <c r="D84" s="456"/>
      <c r="E84" s="456"/>
      <c r="F84" s="456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8"/>
      <c r="W84" s="459"/>
      <c r="X84" s="460"/>
      <c r="Y84" s="460"/>
      <c r="Z84" s="460"/>
      <c r="AA84" s="460"/>
      <c r="AB84" s="460"/>
      <c r="AC84" s="460"/>
      <c r="AD84" s="460"/>
      <c r="AE84" s="461"/>
    </row>
    <row r="85" spans="1:31" s="462" customFormat="1" ht="16" customHeight="1" x14ac:dyDescent="0.35">
      <c r="A85" s="454"/>
      <c r="B85" s="455" t="s">
        <v>672</v>
      </c>
      <c r="C85" s="456"/>
      <c r="D85" s="456"/>
      <c r="E85" s="456"/>
      <c r="F85" s="456"/>
      <c r="G85" s="456"/>
      <c r="H85" s="456"/>
      <c r="I85" s="456"/>
      <c r="J85" s="456"/>
      <c r="K85" s="457"/>
      <c r="L85" s="457"/>
      <c r="M85" s="457"/>
      <c r="N85" s="457"/>
      <c r="O85" s="457"/>
      <c r="P85" s="456"/>
      <c r="Q85" s="456"/>
      <c r="R85" s="456"/>
      <c r="S85" s="456"/>
      <c r="T85" s="456"/>
      <c r="U85" s="456"/>
      <c r="V85" s="458"/>
      <c r="W85" s="459"/>
      <c r="X85" s="460"/>
      <c r="Y85" s="460"/>
      <c r="Z85" s="460"/>
      <c r="AA85" s="460"/>
      <c r="AB85" s="460"/>
      <c r="AC85" s="460"/>
      <c r="AD85" s="460"/>
      <c r="AE85" s="461"/>
    </row>
    <row r="86" spans="1:31" s="462" customFormat="1" ht="16" customHeight="1" x14ac:dyDescent="0.35">
      <c r="A86" s="454"/>
      <c r="B86" s="465" t="str">
        <f>B4</f>
        <v>GLOBAL REVENUE</v>
      </c>
      <c r="C86" s="456"/>
      <c r="D86" s="465"/>
      <c r="E86" s="456"/>
      <c r="F86" s="456"/>
      <c r="G86" s="456"/>
      <c r="H86" s="456"/>
      <c r="I86" s="456"/>
      <c r="J86" s="456"/>
      <c r="K86" s="487">
        <f>K15</f>
        <v>6480000</v>
      </c>
      <c r="L86" s="487">
        <f>L15</f>
        <v>14129099.999999998</v>
      </c>
      <c r="M86" s="487">
        <f>M15</f>
        <v>16954919.999999996</v>
      </c>
      <c r="N86" s="487">
        <f>N15</f>
        <v>22041395.999999996</v>
      </c>
      <c r="O86" s="487">
        <f>O15</f>
        <v>28653814.799999997</v>
      </c>
      <c r="P86" s="456"/>
      <c r="Q86" s="456"/>
      <c r="R86" s="456"/>
      <c r="S86" s="456"/>
      <c r="T86" s="456"/>
      <c r="U86" s="456"/>
      <c r="V86" s="458"/>
      <c r="W86" s="459"/>
      <c r="X86" s="460"/>
      <c r="Y86" s="460"/>
      <c r="Z86" s="460"/>
      <c r="AA86" s="460"/>
      <c r="AB86" s="460"/>
      <c r="AC86" s="460"/>
      <c r="AD86" s="460"/>
      <c r="AE86" s="461"/>
    </row>
    <row r="87" spans="1:31" s="462" customFormat="1" ht="16" customHeight="1" x14ac:dyDescent="0.35">
      <c r="A87" s="454"/>
      <c r="B87" s="465" t="str">
        <f>B17</f>
        <v>SECURITY DRIVERS</v>
      </c>
      <c r="C87" s="456"/>
      <c r="D87" s="456"/>
      <c r="E87" s="456"/>
      <c r="F87" s="456"/>
      <c r="G87" s="456"/>
      <c r="H87" s="456"/>
      <c r="I87" s="456"/>
      <c r="J87" s="456"/>
      <c r="K87" s="487"/>
      <c r="L87" s="487"/>
      <c r="M87" s="487"/>
      <c r="N87" s="487"/>
      <c r="O87" s="487"/>
      <c r="P87" s="456"/>
      <c r="Q87" s="456"/>
      <c r="R87" s="456"/>
      <c r="S87" s="456"/>
      <c r="T87" s="456"/>
      <c r="U87" s="456"/>
      <c r="V87" s="458"/>
      <c r="W87" s="459"/>
      <c r="X87" s="460"/>
      <c r="Y87" s="460"/>
      <c r="Z87" s="460"/>
      <c r="AA87" s="460"/>
      <c r="AB87" s="460"/>
      <c r="AC87" s="460"/>
      <c r="AD87" s="460"/>
      <c r="AE87" s="461"/>
    </row>
    <row r="88" spans="1:31" s="462" customFormat="1" ht="16" customHeight="1" x14ac:dyDescent="0.35">
      <c r="A88" s="454"/>
      <c r="B88" s="465" t="s">
        <v>671</v>
      </c>
      <c r="C88" s="456"/>
      <c r="D88" s="456"/>
      <c r="E88" s="456"/>
      <c r="F88" s="456"/>
      <c r="G88" s="456"/>
      <c r="H88" s="456"/>
      <c r="I88" s="456"/>
      <c r="J88" s="456"/>
      <c r="K88" s="487"/>
      <c r="L88" s="487"/>
      <c r="M88" s="487"/>
      <c r="N88" s="487"/>
      <c r="O88" s="487"/>
      <c r="P88" s="456"/>
      <c r="Q88" s="456"/>
      <c r="R88" s="456"/>
      <c r="S88" s="456"/>
      <c r="T88" s="456"/>
      <c r="U88" s="456"/>
      <c r="V88" s="458"/>
      <c r="W88" s="459"/>
      <c r="X88" s="460"/>
      <c r="Y88" s="460"/>
      <c r="Z88" s="460"/>
      <c r="AA88" s="460"/>
      <c r="AB88" s="460"/>
      <c r="AC88" s="460"/>
      <c r="AD88" s="460"/>
      <c r="AE88" s="461"/>
    </row>
    <row r="89" spans="1:31" s="462" customFormat="1" ht="16" customHeight="1" x14ac:dyDescent="0.35">
      <c r="A89" s="454"/>
      <c r="B89" s="455" t="s">
        <v>670</v>
      </c>
      <c r="C89" s="456"/>
      <c r="D89" s="456"/>
      <c r="E89" s="456"/>
      <c r="F89" s="456"/>
      <c r="G89" s="456"/>
      <c r="H89" s="456"/>
      <c r="I89" s="456"/>
      <c r="J89" s="488"/>
      <c r="K89" s="487">
        <f>K86+K87+K88</f>
        <v>6480000</v>
      </c>
      <c r="L89" s="487">
        <f>L86+L87+L88</f>
        <v>14129099.999999998</v>
      </c>
      <c r="M89" s="487">
        <f>M86+M87+M88</f>
        <v>16954919.999999996</v>
      </c>
      <c r="N89" s="487">
        <f>N86+N87+N88</f>
        <v>22041395.999999996</v>
      </c>
      <c r="O89" s="487">
        <f>O86+O87+O88</f>
        <v>28653814.799999997</v>
      </c>
      <c r="P89" s="456"/>
      <c r="Q89" s="456"/>
      <c r="R89" s="456"/>
      <c r="S89" s="456"/>
      <c r="T89" s="456"/>
      <c r="U89" s="456"/>
      <c r="V89" s="458"/>
      <c r="W89" s="459"/>
      <c r="X89" s="460"/>
      <c r="Y89" s="460"/>
      <c r="Z89" s="460"/>
      <c r="AA89" s="460"/>
      <c r="AB89" s="460"/>
      <c r="AC89" s="460"/>
      <c r="AD89" s="460"/>
      <c r="AE89" s="461"/>
    </row>
    <row r="90" spans="1:31" s="462" customFormat="1" ht="16" customHeight="1" x14ac:dyDescent="0.35">
      <c r="A90" s="454"/>
      <c r="B90" s="455" t="s">
        <v>669</v>
      </c>
      <c r="C90" s="456"/>
      <c r="D90" s="456"/>
      <c r="E90" s="456"/>
      <c r="F90" s="456"/>
      <c r="G90" s="456"/>
      <c r="H90" s="456"/>
      <c r="I90" s="456"/>
      <c r="J90" s="488"/>
      <c r="K90" s="468">
        <f>K89-K91</f>
        <v>1080000</v>
      </c>
      <c r="L90" s="468">
        <f>L89-L91</f>
        <v>2354850</v>
      </c>
      <c r="M90" s="468">
        <f>M89-M91</f>
        <v>2825819.9999999981</v>
      </c>
      <c r="N90" s="468">
        <f>N89-N91</f>
        <v>3673566</v>
      </c>
      <c r="O90" s="468">
        <f>O89-O91</f>
        <v>4775635.799999997</v>
      </c>
      <c r="P90" s="456"/>
      <c r="Q90" s="456"/>
      <c r="R90" s="456"/>
      <c r="S90" s="456"/>
      <c r="T90" s="456"/>
      <c r="U90" s="456"/>
      <c r="V90" s="458"/>
      <c r="W90" s="459"/>
      <c r="X90" s="460"/>
      <c r="Y90" s="460"/>
      <c r="Z90" s="460"/>
      <c r="AA90" s="460"/>
      <c r="AB90" s="460"/>
      <c r="AC90" s="460"/>
      <c r="AD90" s="460"/>
      <c r="AE90" s="461"/>
    </row>
    <row r="91" spans="1:31" s="462" customFormat="1" ht="16" customHeight="1" x14ac:dyDescent="0.35">
      <c r="A91" s="454"/>
      <c r="B91" s="455" t="s">
        <v>668</v>
      </c>
      <c r="C91" s="456"/>
      <c r="D91" s="456"/>
      <c r="E91" s="456"/>
      <c r="F91" s="456"/>
      <c r="G91" s="456"/>
      <c r="H91" s="456"/>
      <c r="I91" s="502" t="s">
        <v>825</v>
      </c>
      <c r="J91" s="502"/>
      <c r="K91" s="487">
        <f>K89/1.2</f>
        <v>5400000</v>
      </c>
      <c r="L91" s="487">
        <f>L89/1.2</f>
        <v>11774249.999999998</v>
      </c>
      <c r="M91" s="487">
        <f>M89/1.2</f>
        <v>14129099.999999998</v>
      </c>
      <c r="N91" s="487">
        <f>N89/1.2</f>
        <v>18367829.999999996</v>
      </c>
      <c r="O91" s="487">
        <f>O89/1.2</f>
        <v>23878179</v>
      </c>
      <c r="P91" s="456"/>
      <c r="Q91" s="456"/>
      <c r="R91" s="456"/>
      <c r="S91" s="456"/>
      <c r="T91" s="456"/>
      <c r="U91" s="456"/>
      <c r="V91" s="458"/>
      <c r="W91" s="459"/>
      <c r="X91" s="460"/>
      <c r="Y91" s="460"/>
      <c r="Z91" s="460"/>
      <c r="AA91" s="460"/>
      <c r="AB91" s="460"/>
      <c r="AC91" s="460"/>
      <c r="AD91" s="460"/>
      <c r="AE91" s="461"/>
    </row>
    <row r="92" spans="1:31" s="462" customFormat="1" ht="16" customHeight="1" x14ac:dyDescent="0.35">
      <c r="A92" s="454"/>
      <c r="B92" s="488"/>
      <c r="C92" s="456"/>
      <c r="D92" s="456"/>
      <c r="E92" s="456"/>
      <c r="F92" s="456"/>
      <c r="G92" s="456"/>
      <c r="H92" s="456"/>
      <c r="I92" s="456"/>
      <c r="J92" s="488"/>
      <c r="K92" s="487"/>
      <c r="L92" s="487"/>
      <c r="M92" s="487"/>
      <c r="N92" s="487"/>
      <c r="O92" s="487"/>
      <c r="P92" s="456"/>
      <c r="Q92" s="456"/>
      <c r="R92" s="456"/>
      <c r="S92" s="456"/>
      <c r="T92" s="456"/>
      <c r="U92" s="456"/>
      <c r="V92" s="458"/>
      <c r="W92" s="459"/>
      <c r="X92" s="460"/>
      <c r="Y92" s="460"/>
      <c r="Z92" s="460"/>
      <c r="AA92" s="460"/>
      <c r="AB92" s="460"/>
      <c r="AC92" s="460"/>
      <c r="AD92" s="460"/>
      <c r="AE92" s="461"/>
    </row>
    <row r="93" spans="1:31" s="462" customFormat="1" ht="16" customHeight="1" x14ac:dyDescent="0.35">
      <c r="A93" s="454"/>
      <c r="B93" s="455" t="s">
        <v>667</v>
      </c>
      <c r="C93" s="456"/>
      <c r="D93" s="456"/>
      <c r="E93" s="456"/>
      <c r="F93" s="456"/>
      <c r="G93" s="456"/>
      <c r="H93" s="456"/>
      <c r="I93" s="456"/>
      <c r="J93" s="456"/>
      <c r="K93" s="457"/>
      <c r="L93" s="457"/>
      <c r="M93" s="457"/>
      <c r="N93" s="457"/>
      <c r="O93" s="457"/>
      <c r="P93" s="456"/>
      <c r="Q93" s="456"/>
      <c r="R93" s="456"/>
      <c r="S93" s="456"/>
      <c r="T93" s="456"/>
      <c r="U93" s="456"/>
      <c r="V93" s="458"/>
      <c r="W93" s="459"/>
      <c r="X93" s="460"/>
      <c r="Y93" s="460"/>
      <c r="Z93" s="460"/>
      <c r="AA93" s="460"/>
      <c r="AB93" s="460"/>
      <c r="AC93" s="460"/>
      <c r="AD93" s="460"/>
      <c r="AE93" s="461"/>
    </row>
    <row r="94" spans="1:31" s="462" customFormat="1" ht="16" customHeight="1" x14ac:dyDescent="0.35">
      <c r="A94" s="454"/>
      <c r="B94" s="465" t="s">
        <v>666</v>
      </c>
      <c r="C94" s="456"/>
      <c r="D94" s="456"/>
      <c r="E94" s="456"/>
      <c r="F94" s="456"/>
      <c r="G94" s="456"/>
      <c r="H94" s="456"/>
      <c r="I94" s="456"/>
      <c r="J94" s="456"/>
      <c r="K94" s="466"/>
      <c r="L94" s="466"/>
      <c r="M94" s="466"/>
      <c r="N94" s="466"/>
      <c r="O94" s="466"/>
      <c r="P94" s="456"/>
      <c r="Q94" s="456"/>
      <c r="R94" s="456"/>
      <c r="S94" s="456"/>
      <c r="T94" s="456"/>
      <c r="U94" s="456"/>
      <c r="V94" s="458"/>
      <c r="W94" s="459"/>
      <c r="X94" s="460"/>
      <c r="Y94" s="460"/>
      <c r="Z94" s="460"/>
      <c r="AA94" s="460"/>
      <c r="AB94" s="460"/>
      <c r="AC94" s="460"/>
      <c r="AD94" s="460"/>
      <c r="AE94" s="461"/>
    </row>
    <row r="95" spans="1:31" s="462" customFormat="1" ht="15.75" customHeight="1" x14ac:dyDescent="0.35">
      <c r="A95" s="454"/>
      <c r="B95" s="465" t="s">
        <v>665</v>
      </c>
      <c r="C95" s="456"/>
      <c r="D95" s="456"/>
      <c r="E95" s="456"/>
      <c r="F95" s="457"/>
      <c r="G95" s="456"/>
      <c r="H95" s="456"/>
      <c r="I95" s="456"/>
      <c r="J95" s="456"/>
      <c r="K95" s="468">
        <f>'Modèle de plan de trésorerie'!C28</f>
        <v>1853856</v>
      </c>
      <c r="L95" s="468">
        <f>'Modèle de plan de trésorerie'!D28</f>
        <v>3882816</v>
      </c>
      <c r="M95" s="468">
        <f>'Modèle de plan de trésorerie'!E28</f>
        <v>4659379.2</v>
      </c>
      <c r="N95" s="468">
        <f>'Modèle de plan de trésorerie'!F28</f>
        <v>6057192.9600000009</v>
      </c>
      <c r="O95" s="468">
        <f>'Modèle de plan de trésorerie'!G28</f>
        <v>7874350.8480000012</v>
      </c>
      <c r="P95" s="456"/>
      <c r="Q95" s="456"/>
      <c r="R95" s="468"/>
      <c r="S95" s="456"/>
      <c r="T95" s="456"/>
      <c r="U95" s="456"/>
      <c r="V95" s="458"/>
      <c r="W95" s="459"/>
      <c r="X95" s="460"/>
      <c r="Y95" s="460"/>
      <c r="Z95" s="460"/>
      <c r="AA95" s="460"/>
      <c r="AB95" s="460"/>
      <c r="AC95" s="460"/>
      <c r="AD95" s="460"/>
      <c r="AE95" s="461"/>
    </row>
    <row r="96" spans="1:31" s="462" customFormat="1" ht="16" customHeight="1" x14ac:dyDescent="0.35">
      <c r="A96" s="454"/>
      <c r="B96" s="465" t="s">
        <v>664</v>
      </c>
      <c r="C96" s="456"/>
      <c r="D96" s="456"/>
      <c r="E96" s="456"/>
      <c r="F96" s="456"/>
      <c r="G96" s="456"/>
      <c r="H96" s="456"/>
      <c r="I96" s="456"/>
      <c r="J96" s="488"/>
      <c r="K96" s="468">
        <f>K95-K97</f>
        <v>308976</v>
      </c>
      <c r="L96" s="468">
        <f>L95-L97</f>
        <v>647136</v>
      </c>
      <c r="M96" s="468">
        <f>M95-M97</f>
        <v>776563.19999999972</v>
      </c>
      <c r="N96" s="468">
        <f>N95-N97</f>
        <v>1009532.1600000001</v>
      </c>
      <c r="O96" s="468">
        <f>O95-O97</f>
        <v>1312391.8080000002</v>
      </c>
      <c r="P96" s="456"/>
      <c r="Q96" s="456"/>
      <c r="R96" s="456"/>
      <c r="S96" s="456"/>
      <c r="T96" s="456"/>
      <c r="U96" s="456"/>
      <c r="V96" s="458"/>
      <c r="W96" s="459"/>
      <c r="X96" s="460"/>
      <c r="Y96" s="460"/>
      <c r="Z96" s="460"/>
      <c r="AA96" s="460"/>
      <c r="AB96" s="460"/>
      <c r="AC96" s="460"/>
      <c r="AD96" s="460"/>
      <c r="AE96" s="461"/>
    </row>
    <row r="97" spans="1:31" s="462" customFormat="1" ht="16" customHeight="1" x14ac:dyDescent="0.35">
      <c r="A97" s="454"/>
      <c r="B97" s="465" t="s">
        <v>663</v>
      </c>
      <c r="C97" s="456"/>
      <c r="D97" s="456"/>
      <c r="E97" s="456"/>
      <c r="F97" s="456"/>
      <c r="G97" s="456"/>
      <c r="H97" s="456"/>
      <c r="I97" s="456"/>
      <c r="J97" s="488"/>
      <c r="K97" s="468">
        <f>K95/1.2</f>
        <v>1544880</v>
      </c>
      <c r="L97" s="468">
        <f>L95/1.2</f>
        <v>3235680</v>
      </c>
      <c r="M97" s="468">
        <f>M95/1.2</f>
        <v>3882816.0000000005</v>
      </c>
      <c r="N97" s="468">
        <f>N95/1.2</f>
        <v>5047660.8000000007</v>
      </c>
      <c r="O97" s="468">
        <f>O95/1.2</f>
        <v>6561959.040000001</v>
      </c>
      <c r="P97" s="456"/>
      <c r="Q97" s="456"/>
      <c r="R97" s="456"/>
      <c r="S97" s="456"/>
      <c r="T97" s="456"/>
      <c r="U97" s="456"/>
      <c r="V97" s="458"/>
      <c r="W97" s="459"/>
      <c r="X97" s="460"/>
      <c r="Y97" s="460"/>
      <c r="Z97" s="460"/>
      <c r="AA97" s="460"/>
      <c r="AB97" s="460"/>
      <c r="AC97" s="460"/>
      <c r="AD97" s="460"/>
      <c r="AE97" s="461"/>
    </row>
    <row r="98" spans="1:31" s="462" customFormat="1" ht="16" customHeight="1" x14ac:dyDescent="0.35">
      <c r="A98" s="454"/>
      <c r="B98" s="465" t="s">
        <v>662</v>
      </c>
      <c r="C98" s="456"/>
      <c r="D98" s="456"/>
      <c r="E98" s="456"/>
      <c r="F98" s="457"/>
      <c r="G98" s="456"/>
      <c r="H98" s="456"/>
      <c r="I98" s="456"/>
      <c r="J98" s="456"/>
      <c r="K98" s="468">
        <f>'Modèle de plan de trésorerie'!C66</f>
        <v>767000</v>
      </c>
      <c r="L98" s="468">
        <f>'Modèle de plan de trésorerie'!D66</f>
        <v>860000</v>
      </c>
      <c r="M98" s="468">
        <f>'Modèle de plan de trésorerie'!E66</f>
        <v>1052000</v>
      </c>
      <c r="N98" s="468">
        <f>'Modèle de plan de trésorerie'!F66</f>
        <v>1052000</v>
      </c>
      <c r="O98" s="468">
        <f>'Modèle de plan de trésorerie'!G66</f>
        <v>1052007</v>
      </c>
      <c r="P98" s="456"/>
      <c r="Q98" s="456"/>
      <c r="R98" s="468"/>
      <c r="S98" s="456"/>
      <c r="T98" s="456"/>
      <c r="U98" s="456"/>
      <c r="V98" s="458"/>
      <c r="W98" s="459"/>
      <c r="X98" s="460"/>
      <c r="Y98" s="460"/>
      <c r="Z98" s="460"/>
      <c r="AA98" s="460"/>
      <c r="AB98" s="460"/>
      <c r="AC98" s="460"/>
      <c r="AD98" s="460"/>
      <c r="AE98" s="461"/>
    </row>
    <row r="99" spans="1:31" s="462" customFormat="1" ht="16" customHeight="1" x14ac:dyDescent="0.35">
      <c r="A99" s="454"/>
      <c r="B99" s="465" t="s">
        <v>661</v>
      </c>
      <c r="C99" s="456"/>
      <c r="D99" s="456"/>
      <c r="E99" s="456"/>
      <c r="F99" s="456"/>
      <c r="G99" s="456"/>
      <c r="H99" s="456"/>
      <c r="I99" s="456"/>
      <c r="J99" s="456"/>
      <c r="K99" s="466">
        <v>1</v>
      </c>
      <c r="L99" s="466">
        <v>1</v>
      </c>
      <c r="M99" s="466">
        <v>1</v>
      </c>
      <c r="N99" s="466">
        <v>1</v>
      </c>
      <c r="O99" s="466">
        <v>1</v>
      </c>
      <c r="P99" s="456"/>
      <c r="Q99" s="456"/>
      <c r="R99" s="456"/>
      <c r="S99" s="456"/>
      <c r="T99" s="456"/>
      <c r="U99" s="456"/>
      <c r="V99" s="458"/>
      <c r="W99" s="459"/>
      <c r="X99" s="460"/>
      <c r="Y99" s="460"/>
      <c r="Z99" s="460"/>
      <c r="AA99" s="460"/>
      <c r="AB99" s="460"/>
      <c r="AC99" s="460"/>
      <c r="AD99" s="460"/>
      <c r="AE99" s="461"/>
    </row>
    <row r="100" spans="1:31" s="462" customFormat="1" ht="16" customHeight="1" x14ac:dyDescent="0.35">
      <c r="A100" s="454"/>
      <c r="B100" s="465" t="s">
        <v>660</v>
      </c>
      <c r="C100" s="456"/>
      <c r="D100" s="456"/>
      <c r="E100" s="456"/>
      <c r="F100" s="457"/>
      <c r="G100" s="456"/>
      <c r="H100" s="456"/>
      <c r="I100" s="456"/>
      <c r="J100" s="456"/>
      <c r="K100" s="468"/>
      <c r="L100" s="468"/>
      <c r="M100" s="468"/>
      <c r="N100" s="468"/>
      <c r="O100" s="468"/>
      <c r="P100" s="456"/>
      <c r="Q100" s="456"/>
      <c r="R100" s="468"/>
      <c r="S100" s="456"/>
      <c r="T100" s="456"/>
      <c r="U100" s="456"/>
      <c r="V100" s="458"/>
      <c r="W100" s="459"/>
      <c r="X100" s="460"/>
      <c r="Y100" s="460"/>
      <c r="Z100" s="460"/>
      <c r="AA100" s="460"/>
      <c r="AB100" s="460"/>
      <c r="AC100" s="460"/>
      <c r="AD100" s="460"/>
      <c r="AE100" s="461"/>
    </row>
    <row r="101" spans="1:31" s="462" customFormat="1" ht="16" customHeight="1" x14ac:dyDescent="0.35">
      <c r="A101" s="454"/>
      <c r="B101" s="465" t="s">
        <v>659</v>
      </c>
      <c r="C101" s="456"/>
      <c r="D101" s="456"/>
      <c r="E101" s="456"/>
      <c r="F101" s="456"/>
      <c r="G101" s="456"/>
      <c r="H101" s="456"/>
      <c r="I101" s="456"/>
      <c r="J101" s="456"/>
      <c r="K101" s="466"/>
      <c r="L101" s="466"/>
      <c r="M101" s="466"/>
      <c r="N101" s="466"/>
      <c r="O101" s="466"/>
      <c r="P101" s="456"/>
      <c r="Q101" s="456"/>
      <c r="R101" s="456"/>
      <c r="S101" s="456"/>
      <c r="T101" s="456"/>
      <c r="U101" s="456"/>
      <c r="V101" s="458"/>
      <c r="W101" s="459"/>
      <c r="X101" s="460"/>
      <c r="Y101" s="460"/>
      <c r="Z101" s="460"/>
      <c r="AA101" s="460"/>
      <c r="AB101" s="460"/>
      <c r="AC101" s="460"/>
      <c r="AD101" s="460"/>
      <c r="AE101" s="461"/>
    </row>
    <row r="102" spans="1:31" s="462" customFormat="1" ht="16" customHeight="1" x14ac:dyDescent="0.35">
      <c r="A102" s="454"/>
      <c r="B102" s="465" t="s">
        <v>658</v>
      </c>
      <c r="C102" s="456"/>
      <c r="D102" s="456"/>
      <c r="E102" s="456"/>
      <c r="F102" s="456"/>
      <c r="G102" s="456"/>
      <c r="H102" s="456"/>
      <c r="I102" s="456"/>
      <c r="J102" s="456"/>
      <c r="K102" s="468">
        <f>K98*K99+K100*K101</f>
        <v>767000</v>
      </c>
      <c r="L102" s="468">
        <f>L98*L99+L100*L101</f>
        <v>860000</v>
      </c>
      <c r="M102" s="468">
        <f>M98*M99+M100*M101</f>
        <v>1052000</v>
      </c>
      <c r="N102" s="468">
        <f>N98*N99+N100*N101</f>
        <v>1052000</v>
      </c>
      <c r="O102" s="468">
        <f>O98*O99+O100*O101</f>
        <v>1052007</v>
      </c>
      <c r="P102" s="456"/>
      <c r="Q102" s="456"/>
      <c r="R102" s="468"/>
      <c r="S102" s="457"/>
      <c r="T102" s="456"/>
      <c r="U102" s="456"/>
      <c r="V102" s="458"/>
      <c r="W102" s="459"/>
      <c r="X102" s="460"/>
      <c r="Y102" s="460"/>
      <c r="Z102" s="460"/>
      <c r="AA102" s="460"/>
      <c r="AB102" s="460"/>
      <c r="AC102" s="460"/>
      <c r="AD102" s="460"/>
      <c r="AE102" s="461"/>
    </row>
    <row r="103" spans="1:31" s="462" customFormat="1" ht="16" customHeight="1" x14ac:dyDescent="0.35">
      <c r="A103" s="454"/>
      <c r="B103" s="455" t="s">
        <v>657</v>
      </c>
      <c r="C103" s="488"/>
      <c r="D103" s="488"/>
      <c r="E103" s="488"/>
      <c r="F103" s="488"/>
      <c r="G103" s="488"/>
      <c r="H103" s="488"/>
      <c r="I103" s="488"/>
      <c r="J103" s="488"/>
      <c r="K103" s="487">
        <f>K102+K97</f>
        <v>2311880</v>
      </c>
      <c r="L103" s="487">
        <f>L102+L97</f>
        <v>4095680</v>
      </c>
      <c r="M103" s="487">
        <f>M102+M97</f>
        <v>4934816</v>
      </c>
      <c r="N103" s="487">
        <f>N102+N97</f>
        <v>6099660.8000000007</v>
      </c>
      <c r="O103" s="487">
        <f>O102+O97</f>
        <v>7613966.040000001</v>
      </c>
      <c r="P103" s="488"/>
      <c r="Q103" s="488"/>
      <c r="R103" s="468"/>
      <c r="S103" s="457"/>
      <c r="T103" s="456"/>
      <c r="U103" s="456"/>
      <c r="V103" s="458"/>
      <c r="W103" s="459"/>
      <c r="X103" s="460"/>
      <c r="Y103" s="460"/>
      <c r="Z103" s="460"/>
      <c r="AA103" s="460"/>
      <c r="AB103" s="460"/>
      <c r="AC103" s="460"/>
      <c r="AD103" s="460"/>
      <c r="AE103" s="461"/>
    </row>
    <row r="104" spans="1:31" s="462" customFormat="1" ht="16" customHeight="1" x14ac:dyDescent="0.35">
      <c r="A104" s="454"/>
      <c r="B104" s="488"/>
      <c r="C104" s="488"/>
      <c r="D104" s="488"/>
      <c r="E104" s="488"/>
      <c r="F104" s="488"/>
      <c r="G104" s="488"/>
      <c r="H104" s="488"/>
      <c r="I104" s="488"/>
      <c r="J104" s="487"/>
      <c r="K104" s="489"/>
      <c r="L104" s="489"/>
      <c r="M104" s="489"/>
      <c r="N104" s="489"/>
      <c r="O104" s="489"/>
      <c r="P104" s="456"/>
      <c r="Q104" s="456"/>
      <c r="R104" s="456"/>
      <c r="S104" s="456"/>
      <c r="T104" s="456"/>
      <c r="U104" s="468"/>
      <c r="V104" s="490"/>
      <c r="W104" s="459"/>
      <c r="X104" s="460"/>
      <c r="Y104" s="460"/>
      <c r="Z104" s="460"/>
      <c r="AA104" s="460"/>
      <c r="AB104" s="460"/>
      <c r="AC104" s="460"/>
      <c r="AD104" s="460"/>
      <c r="AE104" s="461"/>
    </row>
    <row r="105" spans="1:31" s="462" customFormat="1" ht="16" hidden="1" customHeight="1" x14ac:dyDescent="0.35">
      <c r="A105" s="454"/>
      <c r="B105" s="455" t="s">
        <v>656</v>
      </c>
      <c r="C105" s="488"/>
      <c r="D105" s="488"/>
      <c r="E105" s="488"/>
      <c r="F105" s="488"/>
      <c r="G105" s="488"/>
      <c r="H105" s="488"/>
      <c r="I105" s="488"/>
      <c r="J105" s="487"/>
      <c r="K105" s="489">
        <f>K106+K113</f>
        <v>0</v>
      </c>
      <c r="L105" s="489">
        <f>L106+L113</f>
        <v>0</v>
      </c>
      <c r="M105" s="489">
        <f>M106+M113</f>
        <v>0</v>
      </c>
      <c r="N105" s="489">
        <f>N106+N113</f>
        <v>0</v>
      </c>
      <c r="O105" s="489">
        <f>O106+O113</f>
        <v>0</v>
      </c>
      <c r="P105" s="456"/>
      <c r="Q105" s="486" t="s">
        <v>655</v>
      </c>
      <c r="R105" s="456"/>
      <c r="S105" s="456"/>
      <c r="T105" s="456"/>
      <c r="U105" s="468"/>
      <c r="V105" s="490"/>
      <c r="W105" s="459"/>
      <c r="X105" s="460"/>
      <c r="Y105" s="460"/>
      <c r="Z105" s="460"/>
      <c r="AA105" s="460"/>
      <c r="AB105" s="460"/>
      <c r="AC105" s="460"/>
      <c r="AD105" s="460"/>
      <c r="AE105" s="461"/>
    </row>
    <row r="106" spans="1:31" s="462" customFormat="1" ht="16" hidden="1" customHeight="1" x14ac:dyDescent="0.35">
      <c r="A106" s="454"/>
      <c r="B106" s="455" t="s">
        <v>654</v>
      </c>
      <c r="C106" s="488"/>
      <c r="D106" s="488"/>
      <c r="E106" s="488"/>
      <c r="F106" s="491" t="s">
        <v>652</v>
      </c>
      <c r="G106" s="488"/>
      <c r="H106" s="488"/>
      <c r="I106" s="488"/>
      <c r="J106" s="487"/>
      <c r="K106" s="489">
        <f>SUM(K107:K111)</f>
        <v>0</v>
      </c>
      <c r="L106" s="489">
        <f>SUM(L107:L111)+K106</f>
        <v>0</v>
      </c>
      <c r="M106" s="489">
        <f>SUM(M107:M111)+L106</f>
        <v>0</v>
      </c>
      <c r="N106" s="489">
        <f>SUM(N107:N111)+M106</f>
        <v>0</v>
      </c>
      <c r="O106" s="489">
        <f>SUM(O107:O111)+N106</f>
        <v>0</v>
      </c>
      <c r="P106" s="456"/>
      <c r="Q106" s="456"/>
      <c r="R106" s="456"/>
      <c r="S106" s="456"/>
      <c r="T106" s="456"/>
      <c r="U106" s="468"/>
      <c r="V106" s="490"/>
      <c r="W106" s="459"/>
      <c r="X106" s="460"/>
      <c r="Y106" s="460"/>
      <c r="Z106" s="460"/>
      <c r="AA106" s="460"/>
      <c r="AB106" s="460"/>
      <c r="AC106" s="460"/>
      <c r="AD106" s="460"/>
      <c r="AE106" s="461"/>
    </row>
    <row r="107" spans="1:31" s="462" customFormat="1" ht="16" hidden="1" customHeight="1" x14ac:dyDescent="0.35">
      <c r="A107" s="454"/>
      <c r="B107" s="465" t="s">
        <v>620</v>
      </c>
      <c r="C107" s="456"/>
      <c r="D107" s="456"/>
      <c r="E107" s="456"/>
      <c r="F107" s="466">
        <v>40000</v>
      </c>
      <c r="G107" s="456"/>
      <c r="H107" s="456"/>
      <c r="I107" s="456"/>
      <c r="J107" s="456"/>
      <c r="K107" s="456"/>
      <c r="L107" s="466"/>
      <c r="M107" s="466"/>
      <c r="N107" s="466"/>
      <c r="O107" s="466"/>
      <c r="P107" s="466">
        <v>5</v>
      </c>
      <c r="Q107" s="465" t="s">
        <v>608</v>
      </c>
      <c r="R107" s="456"/>
      <c r="S107" s="456"/>
      <c r="T107" s="456"/>
      <c r="U107" s="468"/>
      <c r="V107" s="490"/>
      <c r="W107" s="459"/>
      <c r="X107" s="460"/>
      <c r="Y107" s="460"/>
      <c r="Z107" s="460"/>
      <c r="AA107" s="460"/>
      <c r="AB107" s="460"/>
      <c r="AC107" s="460"/>
      <c r="AD107" s="460"/>
      <c r="AE107" s="461"/>
    </row>
    <row r="108" spans="1:31" s="462" customFormat="1" ht="16" hidden="1" customHeight="1" x14ac:dyDescent="0.35">
      <c r="A108" s="454"/>
      <c r="B108" s="465" t="s">
        <v>619</v>
      </c>
      <c r="C108" s="456"/>
      <c r="D108" s="456"/>
      <c r="E108" s="456"/>
      <c r="F108" s="466">
        <v>80000</v>
      </c>
      <c r="G108" s="456"/>
      <c r="H108" s="456"/>
      <c r="I108" s="456"/>
      <c r="J108" s="456"/>
      <c r="K108" s="466"/>
      <c r="L108" s="466"/>
      <c r="M108" s="466"/>
      <c r="N108" s="466"/>
      <c r="O108" s="466"/>
      <c r="P108" s="466">
        <v>5</v>
      </c>
      <c r="Q108" s="465" t="s">
        <v>608</v>
      </c>
      <c r="R108" s="456"/>
      <c r="S108" s="456"/>
      <c r="T108" s="456"/>
      <c r="U108" s="468"/>
      <c r="V108" s="490"/>
      <c r="W108" s="459"/>
      <c r="X108" s="460"/>
      <c r="Y108" s="460"/>
      <c r="Z108" s="460"/>
      <c r="AA108" s="460"/>
      <c r="AB108" s="460"/>
      <c r="AC108" s="460"/>
      <c r="AD108" s="460"/>
      <c r="AE108" s="461"/>
    </row>
    <row r="109" spans="1:31" s="462" customFormat="1" ht="16" hidden="1" customHeight="1" x14ac:dyDescent="0.35">
      <c r="A109" s="454"/>
      <c r="B109" s="465" t="s">
        <v>618</v>
      </c>
      <c r="C109" s="456"/>
      <c r="D109" s="456"/>
      <c r="E109" s="456"/>
      <c r="F109" s="466">
        <v>80000</v>
      </c>
      <c r="G109" s="456"/>
      <c r="H109" s="456"/>
      <c r="I109" s="456"/>
      <c r="J109" s="456"/>
      <c r="K109" s="466"/>
      <c r="L109" s="466"/>
      <c r="M109" s="466"/>
      <c r="N109" s="466"/>
      <c r="O109" s="466"/>
      <c r="P109" s="466">
        <v>5</v>
      </c>
      <c r="Q109" s="465" t="s">
        <v>608</v>
      </c>
      <c r="R109" s="456"/>
      <c r="S109" s="456"/>
      <c r="T109" s="456"/>
      <c r="U109" s="468"/>
      <c r="V109" s="490"/>
      <c r="W109" s="459"/>
      <c r="X109" s="460"/>
      <c r="Y109" s="460"/>
      <c r="Z109" s="460"/>
      <c r="AA109" s="460"/>
      <c r="AB109" s="460"/>
      <c r="AC109" s="460"/>
      <c r="AD109" s="460"/>
      <c r="AE109" s="461"/>
    </row>
    <row r="110" spans="1:31" s="462" customFormat="1" ht="16" hidden="1" customHeight="1" x14ac:dyDescent="0.35">
      <c r="A110" s="454"/>
      <c r="B110" s="465" t="s">
        <v>617</v>
      </c>
      <c r="C110" s="456"/>
      <c r="D110" s="456"/>
      <c r="E110" s="456"/>
      <c r="F110" s="466">
        <v>125000</v>
      </c>
      <c r="G110" s="456"/>
      <c r="H110" s="456"/>
      <c r="I110" s="456"/>
      <c r="J110" s="456"/>
      <c r="K110" s="466"/>
      <c r="L110" s="466"/>
      <c r="M110" s="466"/>
      <c r="N110" s="466"/>
      <c r="O110" s="466"/>
      <c r="P110" s="466">
        <v>5</v>
      </c>
      <c r="Q110" s="465" t="s">
        <v>608</v>
      </c>
      <c r="R110" s="456"/>
      <c r="S110" s="456"/>
      <c r="T110" s="456"/>
      <c r="U110" s="468"/>
      <c r="V110" s="490"/>
      <c r="W110" s="459"/>
      <c r="X110" s="460"/>
      <c r="Y110" s="460"/>
      <c r="Z110" s="460"/>
      <c r="AA110" s="460"/>
      <c r="AB110" s="460"/>
      <c r="AC110" s="460"/>
      <c r="AD110" s="460"/>
      <c r="AE110" s="461"/>
    </row>
    <row r="111" spans="1:31" s="462" customFormat="1" ht="16" hidden="1" customHeight="1" x14ac:dyDescent="0.35">
      <c r="A111" s="454"/>
      <c r="B111" s="465" t="s">
        <v>616</v>
      </c>
      <c r="C111" s="456"/>
      <c r="D111" s="456"/>
      <c r="E111" s="456"/>
      <c r="F111" s="466">
        <v>250000</v>
      </c>
      <c r="G111" s="456"/>
      <c r="H111" s="456"/>
      <c r="I111" s="456"/>
      <c r="J111" s="456"/>
      <c r="K111" s="466"/>
      <c r="L111" s="466"/>
      <c r="M111" s="466"/>
      <c r="N111" s="466"/>
      <c r="O111" s="466"/>
      <c r="P111" s="466">
        <v>5</v>
      </c>
      <c r="Q111" s="465" t="s">
        <v>608</v>
      </c>
      <c r="R111" s="456"/>
      <c r="S111" s="456"/>
      <c r="T111" s="456"/>
      <c r="U111" s="468"/>
      <c r="V111" s="490"/>
      <c r="W111" s="459"/>
      <c r="X111" s="460"/>
      <c r="Y111" s="460"/>
      <c r="Z111" s="460"/>
      <c r="AA111" s="460"/>
      <c r="AB111" s="460"/>
      <c r="AC111" s="460"/>
      <c r="AD111" s="460"/>
      <c r="AE111" s="461"/>
    </row>
    <row r="112" spans="1:31" s="462" customFormat="1" ht="16" hidden="1" customHeight="1" x14ac:dyDescent="0.35">
      <c r="A112" s="454"/>
      <c r="B112" s="465"/>
      <c r="C112" s="456"/>
      <c r="D112" s="456"/>
      <c r="E112" s="456"/>
      <c r="F112" s="456"/>
      <c r="G112" s="456"/>
      <c r="H112" s="456"/>
      <c r="I112" s="456"/>
      <c r="J112" s="456"/>
      <c r="K112" s="456"/>
      <c r="L112" s="456"/>
      <c r="M112" s="456"/>
      <c r="N112" s="456"/>
      <c r="O112" s="456"/>
      <c r="P112" s="456"/>
      <c r="Q112" s="465"/>
      <c r="R112" s="456"/>
      <c r="S112" s="456"/>
      <c r="T112" s="456"/>
      <c r="U112" s="468"/>
      <c r="V112" s="490"/>
      <c r="W112" s="459"/>
      <c r="X112" s="460"/>
      <c r="Y112" s="460"/>
      <c r="Z112" s="460"/>
      <c r="AA112" s="460"/>
      <c r="AB112" s="460"/>
      <c r="AC112" s="460"/>
      <c r="AD112" s="460"/>
      <c r="AE112" s="461"/>
    </row>
    <row r="113" spans="1:31" s="462" customFormat="1" ht="16" hidden="1" customHeight="1" x14ac:dyDescent="0.35">
      <c r="A113" s="454"/>
      <c r="B113" s="455" t="s">
        <v>653</v>
      </c>
      <c r="C113" s="488"/>
      <c r="D113" s="488"/>
      <c r="E113" s="488"/>
      <c r="F113" s="491" t="s">
        <v>652</v>
      </c>
      <c r="G113" s="491" t="s">
        <v>651</v>
      </c>
      <c r="H113" s="492" t="s">
        <v>650</v>
      </c>
      <c r="I113" s="456"/>
      <c r="J113" s="456"/>
      <c r="K113" s="489">
        <f>SUM(K114:K118)</f>
        <v>0</v>
      </c>
      <c r="L113" s="489">
        <f>SUM(L114:L118)+K113</f>
        <v>0</v>
      </c>
      <c r="M113" s="489">
        <f>SUM(M114:M118)+L113</f>
        <v>0</v>
      </c>
      <c r="N113" s="489">
        <f>SUM(N114:N118)+M113</f>
        <v>0</v>
      </c>
      <c r="O113" s="489">
        <f>SUM(O114:O118)+N113</f>
        <v>0</v>
      </c>
      <c r="P113" s="456"/>
      <c r="Q113" s="456"/>
      <c r="R113" s="456"/>
      <c r="S113" s="456"/>
      <c r="T113" s="456"/>
      <c r="U113" s="456"/>
      <c r="V113" s="458"/>
      <c r="W113" s="459"/>
      <c r="X113" s="460"/>
      <c r="Y113" s="460"/>
      <c r="Z113" s="460"/>
      <c r="AA113" s="460"/>
      <c r="AB113" s="460"/>
      <c r="AC113" s="460"/>
      <c r="AD113" s="460"/>
      <c r="AE113" s="461"/>
    </row>
    <row r="114" spans="1:31" s="462" customFormat="1" ht="16" hidden="1" customHeight="1" x14ac:dyDescent="0.35">
      <c r="A114" s="454"/>
      <c r="B114" s="493" t="s">
        <v>620</v>
      </c>
      <c r="C114" s="456"/>
      <c r="D114" s="456"/>
      <c r="E114" s="456"/>
      <c r="F114" s="466">
        <v>40000</v>
      </c>
      <c r="G114" s="466">
        <v>5</v>
      </c>
      <c r="H114" s="466">
        <f>F114/G114</f>
        <v>8000</v>
      </c>
      <c r="I114" s="456"/>
      <c r="J114" s="468"/>
      <c r="K114" s="468"/>
      <c r="L114" s="468"/>
      <c r="M114" s="468"/>
      <c r="N114" s="468"/>
      <c r="O114" s="468"/>
      <c r="P114" s="466"/>
      <c r="Q114" s="465" t="s">
        <v>608</v>
      </c>
      <c r="R114" s="456"/>
      <c r="S114" s="456"/>
      <c r="T114" s="456"/>
      <c r="U114" s="468"/>
      <c r="V114" s="490"/>
      <c r="W114" s="459"/>
      <c r="X114" s="460"/>
      <c r="Y114" s="460"/>
      <c r="Z114" s="460"/>
      <c r="AA114" s="460"/>
      <c r="AB114" s="460"/>
      <c r="AC114" s="460"/>
      <c r="AD114" s="460"/>
      <c r="AE114" s="461"/>
    </row>
    <row r="115" spans="1:31" s="462" customFormat="1" ht="16" hidden="1" customHeight="1" x14ac:dyDescent="0.35">
      <c r="A115" s="454"/>
      <c r="B115" s="493" t="s">
        <v>619</v>
      </c>
      <c r="C115" s="456"/>
      <c r="D115" s="456"/>
      <c r="E115" s="456"/>
      <c r="F115" s="466">
        <v>80000</v>
      </c>
      <c r="G115" s="466">
        <v>5</v>
      </c>
      <c r="H115" s="466">
        <f>F115/G115</f>
        <v>16000</v>
      </c>
      <c r="I115" s="456"/>
      <c r="J115" s="468"/>
      <c r="K115" s="468"/>
      <c r="L115" s="468"/>
      <c r="M115" s="468"/>
      <c r="N115" s="468"/>
      <c r="O115" s="468"/>
      <c r="P115" s="466"/>
      <c r="Q115" s="465" t="s">
        <v>608</v>
      </c>
      <c r="R115" s="456"/>
      <c r="S115" s="456"/>
      <c r="T115" s="456"/>
      <c r="U115" s="468"/>
      <c r="V115" s="490"/>
      <c r="W115" s="459"/>
      <c r="X115" s="460"/>
      <c r="Y115" s="460"/>
      <c r="Z115" s="460"/>
      <c r="AA115" s="460"/>
      <c r="AB115" s="460"/>
      <c r="AC115" s="460"/>
      <c r="AD115" s="460"/>
      <c r="AE115" s="461"/>
    </row>
    <row r="116" spans="1:31" s="462" customFormat="1" ht="16" hidden="1" customHeight="1" x14ac:dyDescent="0.35">
      <c r="A116" s="454"/>
      <c r="B116" s="493" t="s">
        <v>618</v>
      </c>
      <c r="C116" s="456"/>
      <c r="D116" s="456"/>
      <c r="E116" s="456"/>
      <c r="F116" s="466">
        <v>80000</v>
      </c>
      <c r="G116" s="466">
        <v>5</v>
      </c>
      <c r="H116" s="466">
        <f>F116/G116</f>
        <v>16000</v>
      </c>
      <c r="I116" s="456"/>
      <c r="J116" s="468"/>
      <c r="K116" s="468"/>
      <c r="L116" s="468"/>
      <c r="M116" s="468"/>
      <c r="N116" s="468"/>
      <c r="O116" s="468"/>
      <c r="P116" s="466"/>
      <c r="Q116" s="465" t="s">
        <v>608</v>
      </c>
      <c r="R116" s="456"/>
      <c r="S116" s="456"/>
      <c r="T116" s="456"/>
      <c r="U116" s="468"/>
      <c r="V116" s="490"/>
      <c r="W116" s="459"/>
      <c r="X116" s="460"/>
      <c r="Y116" s="460"/>
      <c r="Z116" s="460"/>
      <c r="AA116" s="460"/>
      <c r="AB116" s="460"/>
      <c r="AC116" s="460"/>
      <c r="AD116" s="460"/>
      <c r="AE116" s="461"/>
    </row>
    <row r="117" spans="1:31" s="462" customFormat="1" ht="16" hidden="1" customHeight="1" x14ac:dyDescent="0.35">
      <c r="A117" s="454"/>
      <c r="B117" s="493" t="s">
        <v>617</v>
      </c>
      <c r="C117" s="456"/>
      <c r="D117" s="456"/>
      <c r="E117" s="456"/>
      <c r="F117" s="466">
        <v>125000</v>
      </c>
      <c r="G117" s="466">
        <v>5</v>
      </c>
      <c r="H117" s="466">
        <f>F117/G117</f>
        <v>25000</v>
      </c>
      <c r="I117" s="456"/>
      <c r="J117" s="468"/>
      <c r="K117" s="468"/>
      <c r="L117" s="468"/>
      <c r="M117" s="468"/>
      <c r="N117" s="468"/>
      <c r="O117" s="468"/>
      <c r="P117" s="466"/>
      <c r="Q117" s="465" t="s">
        <v>608</v>
      </c>
      <c r="R117" s="456"/>
      <c r="S117" s="456"/>
      <c r="T117" s="456"/>
      <c r="U117" s="468"/>
      <c r="V117" s="490"/>
      <c r="W117" s="459"/>
      <c r="X117" s="460"/>
      <c r="Y117" s="460"/>
      <c r="Z117" s="460"/>
      <c r="AA117" s="460"/>
      <c r="AB117" s="460"/>
      <c r="AC117" s="460"/>
      <c r="AD117" s="460"/>
      <c r="AE117" s="461"/>
    </row>
    <row r="118" spans="1:31" s="462" customFormat="1" ht="16" hidden="1" customHeight="1" x14ac:dyDescent="0.35">
      <c r="A118" s="454"/>
      <c r="B118" s="493" t="s">
        <v>616</v>
      </c>
      <c r="C118" s="456"/>
      <c r="D118" s="456"/>
      <c r="E118" s="456"/>
      <c r="F118" s="466">
        <v>250000</v>
      </c>
      <c r="G118" s="466">
        <v>5</v>
      </c>
      <c r="H118" s="466">
        <f>F118/G118</f>
        <v>50000</v>
      </c>
      <c r="I118" s="456"/>
      <c r="J118" s="468"/>
      <c r="K118" s="468"/>
      <c r="L118" s="468"/>
      <c r="M118" s="468"/>
      <c r="N118" s="468"/>
      <c r="O118" s="468"/>
      <c r="P118" s="466"/>
      <c r="Q118" s="465" t="s">
        <v>608</v>
      </c>
      <c r="R118" s="456"/>
      <c r="S118" s="456"/>
      <c r="T118" s="456"/>
      <c r="U118" s="468"/>
      <c r="V118" s="490">
        <f>U118-U142-U148</f>
        <v>0</v>
      </c>
      <c r="W118" s="459"/>
      <c r="X118" s="460"/>
      <c r="Y118" s="460"/>
      <c r="Z118" s="460"/>
      <c r="AA118" s="460"/>
      <c r="AB118" s="460"/>
      <c r="AC118" s="460"/>
      <c r="AD118" s="460"/>
      <c r="AE118" s="461"/>
    </row>
    <row r="119" spans="1:31" s="462" customFormat="1" ht="16" customHeight="1" x14ac:dyDescent="0.35">
      <c r="A119" s="454"/>
      <c r="B119" s="493"/>
      <c r="C119" s="456"/>
      <c r="D119" s="456"/>
      <c r="E119" s="456"/>
      <c r="F119" s="456"/>
      <c r="G119" s="456"/>
      <c r="H119" s="456"/>
      <c r="I119" s="456"/>
      <c r="J119" s="468"/>
      <c r="K119" s="468"/>
      <c r="L119" s="468"/>
      <c r="M119" s="468"/>
      <c r="N119" s="468"/>
      <c r="O119" s="468"/>
      <c r="P119" s="456"/>
      <c r="Q119" s="465"/>
      <c r="R119" s="456"/>
      <c r="S119" s="456"/>
      <c r="T119" s="456"/>
      <c r="U119" s="468"/>
      <c r="V119" s="490"/>
      <c r="W119" s="459"/>
      <c r="X119" s="460"/>
      <c r="Y119" s="460"/>
      <c r="Z119" s="460"/>
      <c r="AA119" s="460"/>
      <c r="AB119" s="460"/>
      <c r="AC119" s="460"/>
      <c r="AD119" s="460"/>
      <c r="AE119" s="461"/>
    </row>
    <row r="120" spans="1:31" s="462" customFormat="1" ht="16" customHeight="1" x14ac:dyDescent="0.35">
      <c r="A120" s="454"/>
      <c r="B120" s="455" t="s">
        <v>649</v>
      </c>
      <c r="C120" s="456"/>
      <c r="D120" s="456"/>
      <c r="E120" s="456"/>
      <c r="F120" s="456"/>
      <c r="G120" s="456"/>
      <c r="H120" s="456"/>
      <c r="I120" s="456"/>
      <c r="J120" s="468"/>
      <c r="K120" s="468"/>
      <c r="L120" s="468"/>
      <c r="M120" s="468"/>
      <c r="N120" s="468"/>
      <c r="O120" s="468"/>
      <c r="P120" s="456"/>
      <c r="Q120" s="465"/>
      <c r="R120" s="456"/>
      <c r="S120" s="456"/>
      <c r="T120" s="456"/>
      <c r="U120" s="468"/>
      <c r="V120" s="490"/>
      <c r="W120" s="459"/>
      <c r="X120" s="460"/>
      <c r="Y120" s="460"/>
      <c r="Z120" s="460"/>
      <c r="AA120" s="460"/>
      <c r="AB120" s="460"/>
      <c r="AC120" s="460"/>
      <c r="AD120" s="460"/>
      <c r="AE120" s="461"/>
    </row>
    <row r="121" spans="1:31" s="462" customFormat="1" ht="16" customHeight="1" x14ac:dyDescent="0.35">
      <c r="A121" s="454"/>
      <c r="B121" s="455" t="s">
        <v>648</v>
      </c>
      <c r="C121" s="488"/>
      <c r="D121" s="488"/>
      <c r="E121" s="488"/>
      <c r="F121" s="488"/>
      <c r="G121" s="488"/>
      <c r="H121" s="488"/>
      <c r="I121" s="488"/>
      <c r="J121" s="487"/>
      <c r="K121" s="489">
        <f>'Modèle de plan de trésorerie'!C29</f>
        <v>967200</v>
      </c>
      <c r="L121" s="489">
        <f>'Modèle de plan de trésorerie'!D29</f>
        <v>806000</v>
      </c>
      <c r="M121" s="489">
        <f>'Modèle de plan de trésorerie'!E29</f>
        <v>967200</v>
      </c>
      <c r="N121" s="489">
        <f>'Modèle de plan de trésorerie'!F29</f>
        <v>1257360</v>
      </c>
      <c r="O121" s="489">
        <f>'Modèle de plan de trésorerie'!G29</f>
        <v>1634568</v>
      </c>
      <c r="P121" s="456"/>
      <c r="Q121" s="456"/>
      <c r="R121" s="456"/>
      <c r="S121" s="456"/>
      <c r="T121" s="456"/>
      <c r="U121" s="468"/>
      <c r="V121" s="490"/>
      <c r="W121" s="459"/>
      <c r="X121" s="460"/>
      <c r="Y121" s="460"/>
      <c r="Z121" s="460"/>
      <c r="AA121" s="460"/>
      <c r="AB121" s="460"/>
      <c r="AC121" s="460"/>
      <c r="AD121" s="460"/>
      <c r="AE121" s="461"/>
    </row>
    <row r="122" spans="1:31" s="462" customFormat="1" ht="16" customHeight="1" x14ac:dyDescent="0.35">
      <c r="A122" s="454"/>
      <c r="B122" s="488"/>
      <c r="C122" s="488"/>
      <c r="D122" s="488"/>
      <c r="E122" s="488"/>
      <c r="F122" s="488"/>
      <c r="G122" s="488"/>
      <c r="H122" s="488"/>
      <c r="I122" s="488"/>
      <c r="J122" s="487"/>
      <c r="K122" s="489"/>
      <c r="L122" s="489"/>
      <c r="M122" s="489"/>
      <c r="N122" s="489"/>
      <c r="O122" s="489"/>
      <c r="P122" s="456"/>
      <c r="Q122" s="456"/>
      <c r="R122" s="456"/>
      <c r="S122" s="456"/>
      <c r="T122" s="456"/>
      <c r="U122" s="468"/>
      <c r="V122" s="490"/>
      <c r="W122" s="459"/>
      <c r="X122" s="460"/>
      <c r="Y122" s="460"/>
      <c r="Z122" s="460"/>
      <c r="AA122" s="460"/>
      <c r="AB122" s="460"/>
      <c r="AC122" s="460"/>
      <c r="AD122" s="460"/>
      <c r="AE122" s="461"/>
    </row>
    <row r="123" spans="1:31" s="462" customFormat="1" ht="16" customHeight="1" x14ac:dyDescent="0.35">
      <c r="A123" s="454"/>
      <c r="B123" s="455" t="s">
        <v>647</v>
      </c>
      <c r="C123" s="488"/>
      <c r="D123" s="488"/>
      <c r="E123" s="488"/>
      <c r="F123" s="491" t="s">
        <v>646</v>
      </c>
      <c r="G123" s="488"/>
      <c r="H123" s="488"/>
      <c r="I123" s="488"/>
      <c r="J123" s="487"/>
      <c r="K123" s="489"/>
      <c r="L123" s="489"/>
      <c r="M123" s="489"/>
      <c r="N123" s="489"/>
      <c r="O123" s="489"/>
      <c r="P123" s="456"/>
      <c r="Q123" s="456"/>
      <c r="R123" s="456"/>
      <c r="S123" s="456"/>
      <c r="T123" s="456"/>
      <c r="U123" s="468"/>
      <c r="V123" s="490"/>
      <c r="W123" s="459"/>
      <c r="X123" s="460"/>
      <c r="Y123" s="460"/>
      <c r="Z123" s="460"/>
      <c r="AA123" s="460"/>
      <c r="AB123" s="460"/>
      <c r="AC123" s="460"/>
      <c r="AD123" s="460"/>
      <c r="AE123" s="461"/>
    </row>
    <row r="124" spans="1:31" s="462" customFormat="1" ht="16" hidden="1" customHeight="1" x14ac:dyDescent="0.35">
      <c r="A124" s="454"/>
      <c r="B124" s="493" t="s">
        <v>620</v>
      </c>
      <c r="C124" s="456"/>
      <c r="D124" s="456"/>
      <c r="E124" s="456"/>
      <c r="F124" s="466">
        <v>1500</v>
      </c>
      <c r="G124" s="456"/>
      <c r="H124" s="456"/>
      <c r="I124" s="456"/>
      <c r="J124" s="468"/>
      <c r="K124" s="468"/>
      <c r="L124" s="468"/>
      <c r="M124" s="468"/>
      <c r="N124" s="468"/>
      <c r="O124" s="468"/>
      <c r="P124" s="456"/>
      <c r="Q124" s="456"/>
      <c r="R124" s="456"/>
      <c r="S124" s="456"/>
      <c r="T124" s="456"/>
      <c r="U124" s="468"/>
      <c r="V124" s="490"/>
      <c r="W124" s="459"/>
      <c r="X124" s="460"/>
      <c r="Y124" s="460"/>
      <c r="Z124" s="460"/>
      <c r="AA124" s="460"/>
      <c r="AB124" s="460"/>
      <c r="AC124" s="460"/>
      <c r="AD124" s="460"/>
      <c r="AE124" s="461"/>
    </row>
    <row r="125" spans="1:31" s="462" customFormat="1" ht="16" hidden="1" customHeight="1" x14ac:dyDescent="0.35">
      <c r="A125" s="454"/>
      <c r="B125" s="493" t="s">
        <v>619</v>
      </c>
      <c r="C125" s="456"/>
      <c r="D125" s="456"/>
      <c r="E125" s="456"/>
      <c r="F125" s="466">
        <v>2500</v>
      </c>
      <c r="G125" s="456"/>
      <c r="H125" s="456"/>
      <c r="I125" s="456"/>
      <c r="J125" s="468"/>
      <c r="K125" s="468"/>
      <c r="L125" s="468"/>
      <c r="M125" s="468"/>
      <c r="N125" s="468"/>
      <c r="O125" s="468"/>
      <c r="P125" s="456"/>
      <c r="Q125" s="456"/>
      <c r="R125" s="456"/>
      <c r="S125" s="456"/>
      <c r="T125" s="456"/>
      <c r="U125" s="468"/>
      <c r="V125" s="490"/>
      <c r="W125" s="459"/>
      <c r="X125" s="460"/>
      <c r="Y125" s="460"/>
      <c r="Z125" s="460"/>
      <c r="AA125" s="460"/>
      <c r="AB125" s="460"/>
      <c r="AC125" s="460"/>
      <c r="AD125" s="460"/>
      <c r="AE125" s="461"/>
    </row>
    <row r="126" spans="1:31" s="462" customFormat="1" ht="16" hidden="1" customHeight="1" x14ac:dyDescent="0.35">
      <c r="A126" s="454"/>
      <c r="B126" s="493" t="s">
        <v>618</v>
      </c>
      <c r="C126" s="456"/>
      <c r="D126" s="456"/>
      <c r="E126" s="456"/>
      <c r="F126" s="466">
        <v>2500</v>
      </c>
      <c r="G126" s="456"/>
      <c r="H126" s="456"/>
      <c r="I126" s="456"/>
      <c r="J126" s="468"/>
      <c r="K126" s="468"/>
      <c r="L126" s="468"/>
      <c r="M126" s="468"/>
      <c r="N126" s="468"/>
      <c r="O126" s="468"/>
      <c r="P126" s="456"/>
      <c r="Q126" s="456"/>
      <c r="R126" s="456"/>
      <c r="S126" s="456"/>
      <c r="T126" s="456"/>
      <c r="U126" s="468"/>
      <c r="V126" s="490"/>
      <c r="W126" s="459"/>
      <c r="X126" s="460"/>
      <c r="Y126" s="460"/>
      <c r="Z126" s="460"/>
      <c r="AA126" s="460"/>
      <c r="AB126" s="460"/>
      <c r="AC126" s="460"/>
      <c r="AD126" s="460"/>
      <c r="AE126" s="461"/>
    </row>
    <row r="127" spans="1:31" s="462" customFormat="1" ht="16" hidden="1" customHeight="1" x14ac:dyDescent="0.35">
      <c r="A127" s="454"/>
      <c r="B127" s="493" t="s">
        <v>617</v>
      </c>
      <c r="C127" s="456"/>
      <c r="D127" s="456"/>
      <c r="E127" s="456"/>
      <c r="F127" s="466">
        <v>3500</v>
      </c>
      <c r="G127" s="456"/>
      <c r="H127" s="456"/>
      <c r="I127" s="456"/>
      <c r="J127" s="468"/>
      <c r="K127" s="468"/>
      <c r="L127" s="468"/>
      <c r="M127" s="468"/>
      <c r="N127" s="468"/>
      <c r="O127" s="468"/>
      <c r="P127" s="456"/>
      <c r="Q127" s="456"/>
      <c r="R127" s="456"/>
      <c r="S127" s="456"/>
      <c r="T127" s="456"/>
      <c r="U127" s="468"/>
      <c r="V127" s="490"/>
      <c r="W127" s="459"/>
      <c r="X127" s="460"/>
      <c r="Y127" s="460"/>
      <c r="Z127" s="460"/>
      <c r="AA127" s="460"/>
      <c r="AB127" s="460"/>
      <c r="AC127" s="460"/>
      <c r="AD127" s="460"/>
      <c r="AE127" s="461"/>
    </row>
    <row r="128" spans="1:31" s="462" customFormat="1" ht="16" hidden="1" customHeight="1" x14ac:dyDescent="0.35">
      <c r="A128" s="454"/>
      <c r="B128" s="493" t="s">
        <v>616</v>
      </c>
      <c r="C128" s="456"/>
      <c r="D128" s="456"/>
      <c r="E128" s="456"/>
      <c r="F128" s="466">
        <v>5000</v>
      </c>
      <c r="G128" s="456"/>
      <c r="H128" s="456"/>
      <c r="I128" s="456"/>
      <c r="J128" s="468"/>
      <c r="K128" s="468"/>
      <c r="L128" s="468"/>
      <c r="M128" s="468"/>
      <c r="N128" s="468"/>
      <c r="O128" s="468"/>
      <c r="P128" s="456"/>
      <c r="Q128" s="465"/>
      <c r="R128" s="456"/>
      <c r="S128" s="456"/>
      <c r="T128" s="456"/>
      <c r="U128" s="468">
        <f>SUM(J128:O128)</f>
        <v>0</v>
      </c>
      <c r="V128" s="490">
        <f>U128-U145-U150</f>
        <v>0</v>
      </c>
      <c r="W128" s="459"/>
      <c r="X128" s="460"/>
      <c r="Y128" s="460"/>
      <c r="Z128" s="460"/>
      <c r="AA128" s="460"/>
      <c r="AB128" s="460"/>
      <c r="AC128" s="460"/>
      <c r="AD128" s="460"/>
      <c r="AE128" s="461"/>
    </row>
    <row r="129" spans="1:31" s="462" customFormat="1" ht="16" customHeight="1" x14ac:dyDescent="0.35">
      <c r="A129" s="454"/>
      <c r="B129" s="492" t="s">
        <v>645</v>
      </c>
      <c r="C129" s="488"/>
      <c r="D129" s="488"/>
      <c r="E129" s="488"/>
      <c r="F129" s="488"/>
      <c r="G129" s="488"/>
      <c r="H129" s="488"/>
      <c r="I129" s="488"/>
      <c r="J129" s="487"/>
      <c r="K129" s="489">
        <f>'Modèle de plan de trésorerie'!C48</f>
        <v>130400</v>
      </c>
      <c r="L129" s="489">
        <f>'Modèle de plan de trésorerie'!D48</f>
        <v>276640</v>
      </c>
      <c r="M129" s="489">
        <f>'Modèle de plan de trésorerie'!E48</f>
        <v>290000</v>
      </c>
      <c r="N129" s="489">
        <f>'Modèle de plan de trésorerie'!F48</f>
        <v>310000</v>
      </c>
      <c r="O129" s="489">
        <f>'Modèle de plan de trésorerie'!G48</f>
        <v>310001</v>
      </c>
      <c r="P129" s="456"/>
      <c r="Q129" s="456"/>
      <c r="R129" s="456"/>
      <c r="S129" s="456"/>
      <c r="T129" s="456"/>
      <c r="U129" s="468"/>
      <c r="V129" s="490"/>
      <c r="W129" s="459"/>
      <c r="X129" s="460"/>
      <c r="Y129" s="460"/>
      <c r="Z129" s="460"/>
      <c r="AA129" s="460"/>
      <c r="AB129" s="460"/>
      <c r="AC129" s="460"/>
      <c r="AD129" s="460"/>
      <c r="AE129" s="461"/>
    </row>
    <row r="130" spans="1:31" s="462" customFormat="1" ht="16" customHeight="1" x14ac:dyDescent="0.35">
      <c r="A130" s="454"/>
      <c r="B130" s="492"/>
      <c r="C130" s="488"/>
      <c r="D130" s="488"/>
      <c r="E130" s="488"/>
      <c r="F130" s="488"/>
      <c r="G130" s="488"/>
      <c r="H130" s="488"/>
      <c r="I130" s="488"/>
      <c r="J130" s="487"/>
      <c r="K130" s="489"/>
      <c r="L130" s="489"/>
      <c r="M130" s="489"/>
      <c r="N130" s="489"/>
      <c r="O130" s="489"/>
      <c r="P130" s="456"/>
      <c r="Q130" s="456"/>
      <c r="R130" s="456"/>
      <c r="S130" s="456"/>
      <c r="T130" s="456"/>
      <c r="U130" s="468"/>
      <c r="V130" s="490"/>
      <c r="W130" s="459"/>
      <c r="X130" s="460"/>
      <c r="Y130" s="460"/>
      <c r="Z130" s="460"/>
      <c r="AA130" s="460"/>
      <c r="AB130" s="460"/>
      <c r="AC130" s="460"/>
      <c r="AD130" s="460"/>
      <c r="AE130" s="461"/>
    </row>
    <row r="131" spans="1:31" s="462" customFormat="1" ht="16" hidden="1" customHeight="1" x14ac:dyDescent="0.35">
      <c r="A131" s="454"/>
      <c r="B131" s="455" t="s">
        <v>644</v>
      </c>
      <c r="C131" s="488"/>
      <c r="D131" s="488"/>
      <c r="E131" s="488"/>
      <c r="F131" s="492" t="s">
        <v>643</v>
      </c>
      <c r="G131" s="488"/>
      <c r="H131" s="456"/>
      <c r="I131" s="488"/>
      <c r="J131" s="488"/>
      <c r="K131" s="487"/>
      <c r="L131" s="487"/>
      <c r="M131" s="487"/>
      <c r="N131" s="487"/>
      <c r="O131" s="487"/>
      <c r="P131" s="488"/>
      <c r="Q131" s="488"/>
      <c r="R131" s="468"/>
      <c r="S131" s="457"/>
      <c r="T131" s="456"/>
      <c r="U131" s="456"/>
      <c r="V131" s="458"/>
      <c r="W131" s="459"/>
      <c r="X131" s="460"/>
      <c r="Y131" s="460"/>
      <c r="Z131" s="460"/>
      <c r="AA131" s="460"/>
      <c r="AB131" s="460"/>
      <c r="AC131" s="460"/>
      <c r="AD131" s="460"/>
      <c r="AE131" s="461"/>
    </row>
    <row r="132" spans="1:31" s="462" customFormat="1" ht="16" hidden="1" customHeight="1" x14ac:dyDescent="0.35">
      <c r="A132" s="454"/>
      <c r="B132" s="465" t="s">
        <v>642</v>
      </c>
      <c r="C132" s="488"/>
      <c r="D132" s="488"/>
      <c r="E132" s="488"/>
      <c r="F132" s="494"/>
      <c r="G132" s="488"/>
      <c r="H132" s="488"/>
      <c r="I132" s="488"/>
      <c r="J132" s="488"/>
      <c r="K132" s="495"/>
      <c r="L132" s="495"/>
      <c r="M132" s="495"/>
      <c r="N132" s="495"/>
      <c r="O132" s="495"/>
      <c r="P132" s="488"/>
      <c r="Q132" s="488"/>
      <c r="R132" s="468"/>
      <c r="S132" s="457"/>
      <c r="T132" s="456"/>
      <c r="U132" s="456"/>
      <c r="V132" s="458"/>
      <c r="W132" s="459"/>
      <c r="X132" s="460"/>
      <c r="Y132" s="460"/>
      <c r="Z132" s="460"/>
      <c r="AA132" s="460"/>
      <c r="AB132" s="460"/>
      <c r="AC132" s="460"/>
      <c r="AD132" s="460"/>
      <c r="AE132" s="461"/>
    </row>
    <row r="133" spans="1:31" s="462" customFormat="1" ht="16" hidden="1" customHeight="1" x14ac:dyDescent="0.35">
      <c r="A133" s="454"/>
      <c r="B133" s="493" t="s">
        <v>620</v>
      </c>
      <c r="C133" s="456"/>
      <c r="D133" s="456"/>
      <c r="E133" s="456"/>
      <c r="F133" s="466">
        <v>800</v>
      </c>
      <c r="G133" s="456"/>
      <c r="H133" s="456"/>
      <c r="I133" s="456"/>
      <c r="J133" s="468"/>
      <c r="K133" s="468"/>
      <c r="L133" s="468"/>
      <c r="M133" s="468"/>
      <c r="N133" s="468"/>
      <c r="O133" s="468"/>
      <c r="P133" s="456"/>
      <c r="Q133" s="456"/>
      <c r="R133" s="456"/>
      <c r="S133" s="456"/>
      <c r="T133" s="456"/>
      <c r="U133" s="468"/>
      <c r="V133" s="490"/>
      <c r="W133" s="459"/>
      <c r="X133" s="460"/>
      <c r="Y133" s="460"/>
      <c r="Z133" s="460"/>
      <c r="AA133" s="460"/>
      <c r="AB133" s="460"/>
      <c r="AC133" s="460"/>
      <c r="AD133" s="460"/>
      <c r="AE133" s="461"/>
    </row>
    <row r="134" spans="1:31" s="462" customFormat="1" ht="16" hidden="1" customHeight="1" x14ac:dyDescent="0.35">
      <c r="A134" s="454"/>
      <c r="B134" s="493" t="s">
        <v>619</v>
      </c>
      <c r="C134" s="456"/>
      <c r="D134" s="456"/>
      <c r="E134" s="456"/>
      <c r="F134" s="466">
        <v>1200</v>
      </c>
      <c r="G134" s="456"/>
      <c r="H134" s="495"/>
      <c r="I134" s="456"/>
      <c r="J134" s="468"/>
      <c r="K134" s="468"/>
      <c r="L134" s="468"/>
      <c r="M134" s="468"/>
      <c r="N134" s="468"/>
      <c r="O134" s="468"/>
      <c r="P134" s="456"/>
      <c r="Q134" s="456"/>
      <c r="R134" s="456"/>
      <c r="S134" s="456"/>
      <c r="T134" s="456"/>
      <c r="U134" s="468"/>
      <c r="V134" s="490"/>
      <c r="W134" s="459"/>
      <c r="X134" s="460"/>
      <c r="Y134" s="460"/>
      <c r="Z134" s="460"/>
      <c r="AA134" s="460"/>
      <c r="AB134" s="460"/>
      <c r="AC134" s="460"/>
      <c r="AD134" s="460"/>
      <c r="AE134" s="461"/>
    </row>
    <row r="135" spans="1:31" s="462" customFormat="1" ht="16" hidden="1" customHeight="1" x14ac:dyDescent="0.35">
      <c r="A135" s="454"/>
      <c r="B135" s="493" t="s">
        <v>618</v>
      </c>
      <c r="C135" s="456"/>
      <c r="D135" s="456"/>
      <c r="E135" s="456"/>
      <c r="F135" s="466">
        <v>1200</v>
      </c>
      <c r="G135" s="456"/>
      <c r="H135" s="495"/>
      <c r="I135" s="456"/>
      <c r="J135" s="468"/>
      <c r="K135" s="468"/>
      <c r="L135" s="468"/>
      <c r="M135" s="468"/>
      <c r="N135" s="468"/>
      <c r="O135" s="468"/>
      <c r="P135" s="456"/>
      <c r="Q135" s="456"/>
      <c r="R135" s="456"/>
      <c r="S135" s="456"/>
      <c r="T135" s="456"/>
      <c r="U135" s="468"/>
      <c r="V135" s="490"/>
      <c r="W135" s="459"/>
      <c r="X135" s="460"/>
      <c r="Y135" s="460"/>
      <c r="Z135" s="460"/>
      <c r="AA135" s="460"/>
      <c r="AB135" s="460"/>
      <c r="AC135" s="460"/>
      <c r="AD135" s="460"/>
      <c r="AE135" s="461"/>
    </row>
    <row r="136" spans="1:31" s="462" customFormat="1" ht="16" hidden="1" customHeight="1" x14ac:dyDescent="0.35">
      <c r="A136" s="454"/>
      <c r="B136" s="493" t="s">
        <v>617</v>
      </c>
      <c r="C136" s="456"/>
      <c r="D136" s="456"/>
      <c r="E136" s="456"/>
      <c r="F136" s="466">
        <v>1800</v>
      </c>
      <c r="G136" s="456"/>
      <c r="H136" s="495"/>
      <c r="I136" s="456"/>
      <c r="J136" s="468"/>
      <c r="K136" s="468"/>
      <c r="L136" s="468"/>
      <c r="M136" s="468"/>
      <c r="N136" s="468"/>
      <c r="O136" s="468"/>
      <c r="P136" s="456"/>
      <c r="Q136" s="456"/>
      <c r="R136" s="456"/>
      <c r="S136" s="456"/>
      <c r="T136" s="456"/>
      <c r="U136" s="468"/>
      <c r="V136" s="490"/>
      <c r="W136" s="459"/>
      <c r="X136" s="460"/>
      <c r="Y136" s="460"/>
      <c r="Z136" s="460"/>
      <c r="AA136" s="460"/>
      <c r="AB136" s="460"/>
      <c r="AC136" s="460"/>
      <c r="AD136" s="460"/>
      <c r="AE136" s="461"/>
    </row>
    <row r="137" spans="1:31" s="462" customFormat="1" ht="16" hidden="1" customHeight="1" x14ac:dyDescent="0.35">
      <c r="A137" s="454"/>
      <c r="B137" s="493" t="s">
        <v>616</v>
      </c>
      <c r="C137" s="456"/>
      <c r="D137" s="456"/>
      <c r="E137" s="456"/>
      <c r="F137" s="466">
        <v>2500</v>
      </c>
      <c r="G137" s="456"/>
      <c r="H137" s="495"/>
      <c r="I137" s="456"/>
      <c r="J137" s="468"/>
      <c r="K137" s="468"/>
      <c r="L137" s="468"/>
      <c r="M137" s="468"/>
      <c r="N137" s="468"/>
      <c r="O137" s="468"/>
      <c r="P137" s="466">
        <v>5</v>
      </c>
      <c r="Q137" s="465" t="s">
        <v>608</v>
      </c>
      <c r="R137" s="456"/>
      <c r="S137" s="456"/>
      <c r="T137" s="456"/>
      <c r="U137" s="468">
        <f>SUM(J137:O137)</f>
        <v>0</v>
      </c>
      <c r="V137" s="490"/>
      <c r="W137" s="459"/>
      <c r="X137" s="460"/>
      <c r="Y137" s="460"/>
      <c r="Z137" s="460"/>
      <c r="AA137" s="460"/>
      <c r="AB137" s="460"/>
      <c r="AC137" s="460"/>
      <c r="AD137" s="460"/>
      <c r="AE137" s="461"/>
    </row>
    <row r="138" spans="1:31" s="462" customFormat="1" ht="16" hidden="1" customHeight="1" x14ac:dyDescent="0.35">
      <c r="A138" s="454"/>
      <c r="B138" s="492" t="s">
        <v>641</v>
      </c>
      <c r="C138" s="456"/>
      <c r="D138" s="456"/>
      <c r="E138" s="456"/>
      <c r="F138" s="456"/>
      <c r="G138" s="456"/>
      <c r="H138" s="456"/>
      <c r="I138" s="488"/>
      <c r="J138" s="488"/>
      <c r="K138" s="487"/>
      <c r="L138" s="487"/>
      <c r="M138" s="487"/>
      <c r="N138" s="487"/>
      <c r="O138" s="487"/>
      <c r="P138" s="488"/>
      <c r="Q138" s="488"/>
      <c r="R138" s="468"/>
      <c r="S138" s="457"/>
      <c r="T138" s="456"/>
      <c r="U138" s="456"/>
      <c r="V138" s="458"/>
      <c r="W138" s="459"/>
      <c r="X138" s="460"/>
      <c r="Y138" s="460"/>
      <c r="Z138" s="460"/>
      <c r="AA138" s="460"/>
      <c r="AB138" s="460"/>
      <c r="AC138" s="460"/>
      <c r="AD138" s="460"/>
      <c r="AE138" s="461"/>
    </row>
    <row r="139" spans="1:31" s="462" customFormat="1" ht="16" customHeight="1" x14ac:dyDescent="0.35">
      <c r="A139" s="454"/>
      <c r="B139" s="488" t="s">
        <v>640</v>
      </c>
      <c r="C139" s="488"/>
      <c r="D139" s="488"/>
      <c r="E139" s="488"/>
      <c r="F139" s="488"/>
      <c r="G139" s="488"/>
      <c r="H139" s="488"/>
      <c r="I139" s="488"/>
      <c r="J139" s="488"/>
      <c r="K139" s="487">
        <f>+K138+K129+K121</f>
        <v>1097600</v>
      </c>
      <c r="L139" s="487">
        <f>+L138+L129+L121</f>
        <v>1082640</v>
      </c>
      <c r="M139" s="487">
        <f>+M138+M129+M121</f>
        <v>1257200</v>
      </c>
      <c r="N139" s="487">
        <f>+N138+N129+N121</f>
        <v>1567360</v>
      </c>
      <c r="O139" s="487">
        <f>+O138+O129+O121</f>
        <v>1944569</v>
      </c>
      <c r="P139" s="488"/>
      <c r="Q139" s="488"/>
      <c r="R139" s="468"/>
      <c r="S139" s="457"/>
      <c r="T139" s="456"/>
      <c r="U139" s="456"/>
      <c r="V139" s="458"/>
      <c r="W139" s="459"/>
      <c r="X139" s="460"/>
      <c r="Y139" s="460"/>
      <c r="Z139" s="460"/>
      <c r="AA139" s="460"/>
      <c r="AB139" s="460"/>
      <c r="AC139" s="460"/>
      <c r="AD139" s="460"/>
      <c r="AE139" s="461"/>
    </row>
    <row r="140" spans="1:31" s="462" customFormat="1" ht="16" customHeight="1" x14ac:dyDescent="0.35">
      <c r="A140" s="454"/>
      <c r="B140" s="488"/>
      <c r="C140" s="488"/>
      <c r="D140" s="488"/>
      <c r="E140" s="488"/>
      <c r="F140" s="488"/>
      <c r="G140" s="488"/>
      <c r="H140" s="488"/>
      <c r="I140" s="488"/>
      <c r="J140" s="488"/>
      <c r="K140" s="487"/>
      <c r="L140" s="487"/>
      <c r="M140" s="487"/>
      <c r="N140" s="487"/>
      <c r="O140" s="487"/>
      <c r="P140" s="488"/>
      <c r="Q140" s="488"/>
      <c r="R140" s="468"/>
      <c r="S140" s="457"/>
      <c r="T140" s="456"/>
      <c r="U140" s="456"/>
      <c r="V140" s="458"/>
      <c r="W140" s="459"/>
      <c r="X140" s="460"/>
      <c r="Y140" s="460"/>
      <c r="Z140" s="460"/>
      <c r="AA140" s="460"/>
      <c r="AB140" s="460"/>
      <c r="AC140" s="460"/>
      <c r="AD140" s="460"/>
      <c r="AE140" s="461"/>
    </row>
    <row r="141" spans="1:31" s="462" customFormat="1" ht="16" customHeight="1" x14ac:dyDescent="0.35">
      <c r="A141" s="454"/>
      <c r="B141" s="455" t="s">
        <v>639</v>
      </c>
      <c r="C141" s="456"/>
      <c r="D141" s="456"/>
      <c r="E141" s="456"/>
      <c r="F141" s="456"/>
      <c r="G141" s="456"/>
      <c r="H141" s="456"/>
      <c r="I141" s="456"/>
      <c r="J141" s="488"/>
      <c r="K141" s="487">
        <f>K91-K103-K129-K138-K121</f>
        <v>1990520</v>
      </c>
      <c r="L141" s="487">
        <f>L91-L103-L129-L138-L121</f>
        <v>6595929.9999999981</v>
      </c>
      <c r="M141" s="487">
        <f>M91-M103-M129-M138-M121</f>
        <v>7937083.9999999981</v>
      </c>
      <c r="N141" s="487">
        <f>N91-N103-N129-N138-N121</f>
        <v>10700809.199999996</v>
      </c>
      <c r="O141" s="487">
        <f>O91-O103-O129-O138-O121</f>
        <v>14319643.959999999</v>
      </c>
      <c r="P141" s="468"/>
      <c r="Q141" s="469"/>
      <c r="R141" s="456"/>
      <c r="S141" s="456"/>
      <c r="T141" s="456"/>
      <c r="U141" s="456"/>
      <c r="V141" s="458"/>
      <c r="W141" s="459"/>
      <c r="X141" s="460"/>
      <c r="Y141" s="460"/>
      <c r="Z141" s="460"/>
      <c r="AA141" s="460"/>
      <c r="AB141" s="460"/>
      <c r="AC141" s="460"/>
      <c r="AD141" s="460"/>
      <c r="AE141" s="461"/>
    </row>
    <row r="142" spans="1:31" s="462" customFormat="1" ht="16" customHeight="1" x14ac:dyDescent="0.35">
      <c r="A142" s="454"/>
      <c r="B142" s="465" t="s">
        <v>638</v>
      </c>
      <c r="C142" s="456"/>
      <c r="D142" s="456"/>
      <c r="E142" s="456"/>
      <c r="F142" s="456"/>
      <c r="G142" s="456"/>
      <c r="H142" s="456"/>
      <c r="I142" s="456"/>
      <c r="J142" s="456"/>
      <c r="K142" s="496">
        <f>K141/K91</f>
        <v>0.36861481481481484</v>
      </c>
      <c r="L142" s="496">
        <f>L141/L91</f>
        <v>0.5601995880841667</v>
      </c>
      <c r="M142" s="496">
        <f>M141/M91</f>
        <v>0.56175439341500866</v>
      </c>
      <c r="N142" s="496">
        <f>N141/N91</f>
        <v>0.58258429003317203</v>
      </c>
      <c r="O142" s="496">
        <f>O141/O91</f>
        <v>0.59969581264969996</v>
      </c>
      <c r="P142" s="456"/>
      <c r="Q142" s="456"/>
      <c r="R142" s="468"/>
      <c r="S142" s="457"/>
      <c r="T142" s="456"/>
      <c r="U142" s="456"/>
      <c r="V142" s="458"/>
      <c r="W142" s="459"/>
      <c r="X142" s="460"/>
      <c r="Y142" s="460"/>
      <c r="Z142" s="460"/>
      <c r="AA142" s="460"/>
      <c r="AB142" s="460"/>
      <c r="AC142" s="460"/>
      <c r="AD142" s="460"/>
      <c r="AE142" s="461"/>
    </row>
    <row r="143" spans="1:31" s="462" customFormat="1" ht="16" customHeight="1" x14ac:dyDescent="0.35">
      <c r="A143" s="454"/>
      <c r="B143" s="456"/>
      <c r="C143" s="456"/>
      <c r="D143" s="456"/>
      <c r="E143" s="456"/>
      <c r="F143" s="456"/>
      <c r="G143" s="456"/>
      <c r="H143" s="456"/>
      <c r="I143" s="456"/>
      <c r="J143" s="456"/>
      <c r="K143" s="496"/>
      <c r="L143" s="496"/>
      <c r="M143" s="496"/>
      <c r="N143" s="496"/>
      <c r="O143" s="496"/>
      <c r="P143" s="456"/>
      <c r="Q143" s="456"/>
      <c r="R143" s="468"/>
      <c r="S143" s="457"/>
      <c r="T143" s="456"/>
      <c r="U143" s="456"/>
      <c r="V143" s="458"/>
      <c r="W143" s="459"/>
      <c r="X143" s="460"/>
      <c r="Y143" s="460"/>
      <c r="Z143" s="460"/>
      <c r="AA143" s="460"/>
      <c r="AB143" s="460"/>
      <c r="AC143" s="460"/>
      <c r="AD143" s="460"/>
      <c r="AE143" s="461"/>
    </row>
    <row r="144" spans="1:31" s="462" customFormat="1" ht="16" customHeight="1" x14ac:dyDescent="0.35">
      <c r="A144" s="454"/>
      <c r="B144" s="465" t="s">
        <v>637</v>
      </c>
      <c r="C144" s="456"/>
      <c r="D144" s="456"/>
      <c r="E144" s="456"/>
      <c r="F144" s="457"/>
      <c r="G144" s="456"/>
      <c r="H144" s="456"/>
      <c r="I144" s="456"/>
      <c r="J144" s="456"/>
      <c r="K144" s="456"/>
      <c r="L144" s="457"/>
      <c r="M144" s="457"/>
      <c r="N144" s="457"/>
      <c r="O144" s="496"/>
      <c r="P144" s="456"/>
      <c r="Q144" s="469"/>
      <c r="R144" s="456"/>
      <c r="S144" s="456"/>
      <c r="T144" s="456"/>
      <c r="U144" s="456"/>
      <c r="V144" s="458"/>
      <c r="W144" s="459"/>
      <c r="X144" s="460"/>
      <c r="Y144" s="460"/>
      <c r="Z144" s="460"/>
      <c r="AA144" s="460"/>
      <c r="AB144" s="460"/>
      <c r="AC144" s="460"/>
      <c r="AD144" s="460"/>
      <c r="AE144" s="461"/>
    </row>
    <row r="145" spans="1:31" s="462" customFormat="1" ht="16" customHeight="1" x14ac:dyDescent="0.35">
      <c r="A145" s="454"/>
      <c r="B145" s="465" t="s">
        <v>636</v>
      </c>
      <c r="C145" s="456"/>
      <c r="D145" s="456"/>
      <c r="E145" s="456"/>
      <c r="F145" s="460"/>
      <c r="G145" s="456"/>
      <c r="H145" s="456"/>
      <c r="I145" s="456"/>
      <c r="J145" s="456"/>
      <c r="K145" s="466">
        <f>'Modèle de plan de trésorerie'!C63</f>
        <v>180000</v>
      </c>
      <c r="L145" s="466">
        <f>'Modèle de plan de trésorerie'!D63</f>
        <v>70000</v>
      </c>
      <c r="M145" s="466">
        <f>'Modèle de plan de trésorerie'!E63</f>
        <v>70000</v>
      </c>
      <c r="N145" s="466">
        <f>'Modèle de plan de trésorerie'!F63</f>
        <v>70000</v>
      </c>
      <c r="O145" s="466">
        <f>'Modèle de plan de trésorerie'!G63</f>
        <v>70001</v>
      </c>
      <c r="P145" s="456"/>
      <c r="Q145" s="456"/>
      <c r="R145" s="456"/>
      <c r="S145" s="456"/>
      <c r="T145" s="456"/>
      <c r="U145" s="456"/>
      <c r="V145" s="458"/>
      <c r="W145" s="459"/>
      <c r="X145" s="460"/>
      <c r="Y145" s="460"/>
      <c r="Z145" s="460"/>
      <c r="AA145" s="460"/>
      <c r="AB145" s="460"/>
      <c r="AC145" s="460"/>
      <c r="AD145" s="460"/>
      <c r="AE145" s="461"/>
    </row>
    <row r="146" spans="1:31" s="462" customFormat="1" ht="16" customHeight="1" x14ac:dyDescent="0.35">
      <c r="A146" s="454"/>
      <c r="B146" s="465" t="s">
        <v>635</v>
      </c>
      <c r="C146" s="457">
        <v>0.15</v>
      </c>
      <c r="D146" s="456"/>
      <c r="E146" s="456"/>
      <c r="F146" s="456"/>
      <c r="G146" s="456"/>
      <c r="H146" s="456"/>
      <c r="I146" s="456"/>
      <c r="J146" s="456"/>
      <c r="K146" s="468">
        <f>'Modèle de plan de trésorerie'!C34+'Modèle de plan de trésorerie'!C39</f>
        <v>442000</v>
      </c>
      <c r="L146" s="468">
        <f>'Modèle de plan de trésorerie'!D34+'Modèle de plan de trésorerie'!D39</f>
        <v>450000</v>
      </c>
      <c r="M146" s="468">
        <f>'Modèle de plan de trésorerie'!E34+'Modèle de plan de trésorerie'!E39</f>
        <v>473000</v>
      </c>
      <c r="N146" s="468">
        <f>'Modèle de plan de trésorerie'!F34+'Modèle de plan de trésorerie'!F39</f>
        <v>496000</v>
      </c>
      <c r="O146" s="468">
        <f>'Modèle de plan de trésorerie'!G34+'Modèle de plan de trésorerie'!G39</f>
        <v>496008</v>
      </c>
      <c r="P146" s="456"/>
      <c r="Q146" s="456"/>
      <c r="R146" s="468"/>
      <c r="S146" s="457"/>
      <c r="T146" s="456"/>
      <c r="U146" s="456"/>
      <c r="V146" s="458"/>
      <c r="W146" s="459"/>
      <c r="X146" s="460"/>
      <c r="Y146" s="460"/>
      <c r="Z146" s="460"/>
      <c r="AA146" s="460"/>
      <c r="AB146" s="460"/>
      <c r="AC146" s="460"/>
      <c r="AD146" s="460"/>
      <c r="AE146" s="461"/>
    </row>
    <row r="147" spans="1:31" s="462" customFormat="1" ht="16" customHeight="1" x14ac:dyDescent="0.35">
      <c r="A147" s="454"/>
      <c r="B147" s="465" t="s">
        <v>634</v>
      </c>
      <c r="C147" s="457">
        <v>0.03</v>
      </c>
      <c r="D147" s="456"/>
      <c r="E147" s="456"/>
      <c r="F147" s="456"/>
      <c r="G147" s="456"/>
      <c r="H147" s="456"/>
      <c r="I147" s="456"/>
      <c r="J147" s="456"/>
      <c r="K147" s="468">
        <f>'Modèle de plan de trésorerie'!C31+'Modèle de plan de trésorerie'!C32</f>
        <v>240000</v>
      </c>
      <c r="L147" s="468">
        <f>'Modèle de plan de trésorerie'!D31+'Modèle de plan de trésorerie'!D32</f>
        <v>270000</v>
      </c>
      <c r="M147" s="468">
        <f>'Modèle de plan de trésorerie'!E31+'Modèle de plan de trésorerie'!E32</f>
        <v>283500</v>
      </c>
      <c r="N147" s="468">
        <f>'Modèle de plan de trésorerie'!F31+'Modèle de plan de trésorerie'!F32</f>
        <v>290500</v>
      </c>
      <c r="O147" s="468">
        <f>'Modèle de plan de trésorerie'!G31+'Modèle de plan de trésorerie'!G32</f>
        <v>301526</v>
      </c>
      <c r="P147" s="456"/>
      <c r="Q147" s="456"/>
      <c r="R147" s="468"/>
      <c r="S147" s="457"/>
      <c r="T147" s="456"/>
      <c r="U147" s="456"/>
      <c r="V147" s="458"/>
      <c r="W147" s="459"/>
      <c r="X147" s="460"/>
      <c r="Y147" s="460"/>
      <c r="Z147" s="460"/>
      <c r="AA147" s="460"/>
      <c r="AB147" s="460"/>
      <c r="AC147" s="460"/>
      <c r="AD147" s="460"/>
      <c r="AE147" s="461"/>
    </row>
    <row r="148" spans="1:31" ht="16" customHeight="1" x14ac:dyDescent="0.35">
      <c r="A148" s="262"/>
      <c r="B148" s="265" t="s">
        <v>633</v>
      </c>
      <c r="C148" s="271">
        <v>0.05</v>
      </c>
      <c r="D148" s="251"/>
      <c r="E148" s="251"/>
      <c r="F148" s="251"/>
      <c r="G148" s="251"/>
      <c r="H148" s="251"/>
      <c r="I148" s="251"/>
      <c r="J148" s="251"/>
      <c r="K148" s="257">
        <f>'Modèle de plan de trésorerie'!C30+'Modèle de plan de trésorerie'!C33+'Modèle de plan de trésorerie'!C44+'Modèle de plan de trésorerie'!C45+'Modèle de plan de trésorerie'!C46+'Modèle de plan de trésorerie'!C47+'Modèle de plan de trésorerie'!C49+'Modèle de plan de trésorerie'!C50+'Modèle de plan de trésorerie'!C51+'Modèle de plan de trésorerie'!C52+'Modèle de plan de trésorerie'!C53+'Modèle de plan de trésorerie'!C54+'Modèle de plan de trésorerie'!C55+'Modèle de plan de trésorerie'!C56+'Modèle de plan de trésorerie'!C57+'Modèle de plan de trésorerie'!C58+'Modèle de plan de trésorerie'!C59+'Modèle de plan de trésorerie'!C60+'Modèle de plan de trésorerie'!C61+'Modèle de plan de trésorerie'!C62+'Modèle de plan de trésorerie'!C64</f>
        <v>1165100</v>
      </c>
      <c r="L148" s="257">
        <f>'Modèle de plan de trésorerie'!D30+'Modèle de plan de trésorerie'!D33+'Modèle de plan de trésorerie'!D44+'Modèle de plan de trésorerie'!D45+'Modèle de plan de trésorerie'!D46+'Modèle de plan de trésorerie'!D47+'Modèle de plan de trésorerie'!D49+'Modèle de plan de trésorerie'!D50+'Modèle de plan de trésorerie'!D51+'Modèle de plan de trésorerie'!D52+'Modèle de plan de trésorerie'!D53+'Modèle de plan de trésorerie'!D54+'Modèle de plan de trésorerie'!D55+'Modèle de plan de trésorerie'!D56+'Modèle de plan de trésorerie'!D57+'Modèle de plan de trésorerie'!D58+'Modèle de plan de trésorerie'!D59+'Modèle de plan de trésorerie'!D60+'Modèle de plan de trésorerie'!D61+'Modèle de plan de trésorerie'!D62+'Modèle de plan de trésorerie'!D64</f>
        <v>1293000</v>
      </c>
      <c r="M148" s="257">
        <f>'Modèle de plan de trésorerie'!E30+'Modèle de plan de trésorerie'!E33+'Modèle de plan de trésorerie'!E44+'Modèle de plan de trésorerie'!E45+'Modèle de plan de trésorerie'!E46+'Modèle de plan de trésorerie'!E47+'Modèle de plan de trésorerie'!E49+'Modèle de plan de trésorerie'!E50+'Modèle de plan de trésorerie'!E51+'Modèle de plan de trésorerie'!E52+'Modèle de plan de trésorerie'!E53+'Modèle de plan de trésorerie'!E54+'Modèle de plan de trésorerie'!E55+'Modèle de plan de trésorerie'!E56+'Modèle de plan de trésorerie'!E57+'Modèle de plan de trésorerie'!E58+'Modèle de plan de trésorerie'!E59+'Modèle de plan de trésorerie'!E60+'Modèle de plan de trésorerie'!E61+'Modèle de plan de trésorerie'!E62+'Modèle de plan de trésorerie'!E64</f>
        <v>1335000</v>
      </c>
      <c r="N148" s="257">
        <f>'Modèle de plan de trésorerie'!F30+'Modèle de plan de trésorerie'!F33+'Modèle de plan de trésorerie'!F44+'Modèle de plan de trésorerie'!F45+'Modèle de plan de trésorerie'!F46+'Modèle de plan de trésorerie'!F47+'Modèle de plan de trésorerie'!F49+'Modèle de plan de trésorerie'!F50+'Modèle de plan de trésorerie'!F51+'Modèle de plan de trésorerie'!F52+'Modèle de plan de trésorerie'!F53+'Modèle de plan de trésorerie'!F54+'Modèle de plan de trésorerie'!F55+'Modèle de plan de trésorerie'!F56+'Modèle de plan de trésorerie'!F57+'Modèle de plan de trésorerie'!F58+'Modèle de plan de trésorerie'!F59+'Modèle de plan de trésorerie'!F60+'Modèle de plan de trésorerie'!F61+'Modèle de plan de trésorerie'!F62+'Modèle de plan de trésorerie'!F64</f>
        <v>1493600</v>
      </c>
      <c r="O148" s="257">
        <f>'Modèle de plan de trésorerie'!G30+'Modèle de plan de trésorerie'!G33+'Modèle de plan de trésorerie'!G44+'Modèle de plan de trésorerie'!G45+'Modèle de plan de trésorerie'!G46+'Modèle de plan de trésorerie'!G47+'Modèle de plan de trésorerie'!G49+'Modèle de plan de trésorerie'!G50+'Modèle de plan de trésorerie'!G51+'Modèle de plan de trésorerie'!G52+'Modèle de plan de trésorerie'!G53+'Modèle de plan de trésorerie'!G54+'Modèle de plan de trésorerie'!G55+'Modèle de plan de trésorerie'!G56+'Modèle de plan de trésorerie'!G57+'Modèle de plan de trésorerie'!G58+'Modèle de plan de trésorerie'!G59+'Modèle de plan de trésorerie'!G60+'Modèle de plan de trésorerie'!G61+'Modèle de plan de trésorerie'!G62+'Modèle de plan de trésorerie'!G64</f>
        <v>1662100</v>
      </c>
      <c r="P148" s="251"/>
      <c r="Q148" s="251"/>
      <c r="R148" s="257"/>
      <c r="S148" s="271"/>
      <c r="T148" s="251"/>
      <c r="U148" s="251"/>
      <c r="V148" s="261"/>
      <c r="W148" s="260"/>
      <c r="X148" s="256"/>
      <c r="Y148" s="256"/>
      <c r="Z148" s="256"/>
      <c r="AA148" s="256"/>
      <c r="AB148" s="256"/>
      <c r="AC148" s="256"/>
      <c r="AD148" s="256"/>
      <c r="AE148" s="259"/>
    </row>
    <row r="149" spans="1:31" ht="16" customHeight="1" x14ac:dyDescent="0.35">
      <c r="A149" s="262"/>
      <c r="B149" s="265"/>
      <c r="C149" s="251"/>
      <c r="D149" s="251"/>
      <c r="E149" s="251"/>
      <c r="F149" s="251"/>
      <c r="G149" s="251"/>
      <c r="H149" s="251"/>
      <c r="I149" s="251"/>
      <c r="J149" s="251"/>
      <c r="K149" s="257"/>
      <c r="L149" s="257"/>
      <c r="M149" s="257"/>
      <c r="N149" s="257"/>
      <c r="O149" s="257"/>
      <c r="P149" s="251"/>
      <c r="Q149" s="251"/>
      <c r="R149" s="257"/>
      <c r="S149" s="271"/>
      <c r="T149" s="251"/>
      <c r="U149" s="251"/>
      <c r="V149" s="261"/>
      <c r="W149" s="260"/>
      <c r="X149" s="256"/>
      <c r="Y149" s="256"/>
      <c r="Z149" s="256"/>
      <c r="AA149" s="256"/>
      <c r="AB149" s="256"/>
      <c r="AC149" s="256"/>
      <c r="AD149" s="256"/>
      <c r="AE149" s="259"/>
    </row>
    <row r="150" spans="1:31" ht="16" customHeight="1" x14ac:dyDescent="0.35">
      <c r="A150" s="262"/>
      <c r="B150" s="264" t="s">
        <v>632</v>
      </c>
      <c r="C150" s="251"/>
      <c r="D150" s="251"/>
      <c r="E150" s="251"/>
      <c r="F150" s="251"/>
      <c r="G150" s="251"/>
      <c r="H150" s="251"/>
      <c r="I150" s="251"/>
      <c r="J150" s="272"/>
      <c r="K150" s="267">
        <f>K141-K145-K146-K147-K148</f>
        <v>-36580</v>
      </c>
      <c r="L150" s="267">
        <f>L141-L145-L146-L147-L148</f>
        <v>4512929.9999999981</v>
      </c>
      <c r="M150" s="267">
        <f>M141-M145-M146-M147-M148</f>
        <v>5775583.9999999981</v>
      </c>
      <c r="N150" s="267">
        <f>N141-N145-N146-N147-N148</f>
        <v>8350709.1999999955</v>
      </c>
      <c r="O150" s="267">
        <f>O141-O145-O146-O147-O148</f>
        <v>11790008.959999999</v>
      </c>
      <c r="P150" s="257"/>
      <c r="Q150" s="251"/>
      <c r="R150" s="257"/>
      <c r="S150" s="251"/>
      <c r="T150" s="251"/>
      <c r="U150" s="251"/>
      <c r="V150" s="261"/>
      <c r="W150" s="260"/>
      <c r="X150" s="256"/>
      <c r="Y150" s="256"/>
      <c r="Z150" s="256"/>
      <c r="AA150" s="256"/>
      <c r="AB150" s="256"/>
      <c r="AC150" s="256"/>
      <c r="AD150" s="256"/>
      <c r="AE150" s="259"/>
    </row>
    <row r="151" spans="1:31" ht="14.25" customHeight="1" x14ac:dyDescent="0.35">
      <c r="A151" s="262"/>
      <c r="B151" s="265" t="s">
        <v>631</v>
      </c>
      <c r="C151" s="251"/>
      <c r="D151" s="251"/>
      <c r="E151" s="251"/>
      <c r="F151" s="251"/>
      <c r="G151" s="251"/>
      <c r="H151" s="251"/>
      <c r="I151" s="251"/>
      <c r="J151" s="251"/>
      <c r="K151" s="273">
        <f>K150/K91</f>
        <v>-6.7740740740740739E-3</v>
      </c>
      <c r="L151" s="273">
        <f>L150/L91</f>
        <v>0.38328810752277204</v>
      </c>
      <c r="M151" s="273">
        <f>M150/M91</f>
        <v>0.40877225017870911</v>
      </c>
      <c r="N151" s="273">
        <f>N150/N91</f>
        <v>0.45463776613786155</v>
      </c>
      <c r="O151" s="273">
        <f>O150/O91</f>
        <v>0.49375662021798222</v>
      </c>
      <c r="P151" s="251"/>
      <c r="Q151" s="251"/>
      <c r="R151" s="251"/>
      <c r="S151" s="251"/>
      <c r="T151" s="251"/>
      <c r="U151" s="251"/>
      <c r="V151" s="261"/>
      <c r="W151" s="260"/>
      <c r="X151" s="256"/>
      <c r="Y151" s="256"/>
      <c r="Z151" s="256"/>
      <c r="AA151" s="256"/>
      <c r="AB151" s="256"/>
      <c r="AC151" s="256"/>
      <c r="AD151" s="256"/>
      <c r="AE151" s="259"/>
    </row>
    <row r="152" spans="1:31" ht="16" customHeight="1" x14ac:dyDescent="0.35">
      <c r="A152" s="262"/>
      <c r="B152" s="265" t="s">
        <v>630</v>
      </c>
      <c r="C152" s="251"/>
      <c r="D152" s="251"/>
      <c r="E152" s="251"/>
      <c r="F152" s="251"/>
      <c r="G152" s="251"/>
      <c r="H152" s="251"/>
      <c r="I152" s="251"/>
      <c r="J152" s="251"/>
      <c r="K152" s="257">
        <f>-K179</f>
        <v>-31600</v>
      </c>
      <c r="L152" s="257">
        <f>-L179</f>
        <v>-58500</v>
      </c>
      <c r="M152" s="257">
        <f>-M179</f>
        <v>-87900</v>
      </c>
      <c r="N152" s="257">
        <f>-N179</f>
        <v>-123966.66666666666</v>
      </c>
      <c r="O152" s="257">
        <f>-O179</f>
        <v>-159200</v>
      </c>
      <c r="P152" s="251"/>
      <c r="Q152" s="251"/>
      <c r="R152" s="251"/>
      <c r="S152" s="251"/>
      <c r="T152" s="251"/>
      <c r="U152" s="251"/>
      <c r="V152" s="261"/>
      <c r="W152" s="260"/>
      <c r="X152" s="256"/>
      <c r="Y152" s="256"/>
      <c r="Z152" s="256"/>
      <c r="AA152" s="256"/>
      <c r="AB152" s="256"/>
      <c r="AC152" s="256"/>
      <c r="AD152" s="256"/>
      <c r="AE152" s="259"/>
    </row>
    <row r="153" spans="1:31" ht="16" customHeight="1" x14ac:dyDescent="0.35">
      <c r="A153" s="262"/>
      <c r="B153" s="264" t="s">
        <v>629</v>
      </c>
      <c r="C153" s="251"/>
      <c r="D153" s="251"/>
      <c r="E153" s="251"/>
      <c r="F153" s="251"/>
      <c r="G153" s="251"/>
      <c r="H153" s="251"/>
      <c r="I153" s="251"/>
      <c r="J153" s="272"/>
      <c r="K153" s="267" t="str">
        <f ca="1">SUM(K150:K156)</f>
        <v/>
      </c>
      <c r="L153" s="267" t="str">
        <f ca="1">SUM(L150:L156)</f>
        <v/>
      </c>
      <c r="M153" s="267" t="str">
        <f ca="1">SUM(M150:M156)</f>
        <v/>
      </c>
      <c r="N153" s="267" t="str">
        <f ca="1">SUM(N150:N156)</f>
        <v/>
      </c>
      <c r="O153" s="267" t="str">
        <f ca="1">SUM(O150:O156)</f>
        <v/>
      </c>
      <c r="P153" s="257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61"/>
    </row>
    <row r="154" spans="1:31" ht="16" customHeight="1" x14ac:dyDescent="0.35">
      <c r="A154" s="262"/>
      <c r="B154" s="264"/>
      <c r="C154" s="251"/>
      <c r="D154" s="251"/>
      <c r="E154" s="251"/>
      <c r="F154" s="251"/>
      <c r="G154" s="251"/>
      <c r="H154" s="251"/>
      <c r="I154" s="251"/>
      <c r="J154" s="272"/>
      <c r="K154" s="267"/>
      <c r="L154" s="267"/>
      <c r="M154" s="267"/>
      <c r="N154" s="267"/>
      <c r="O154" s="267"/>
      <c r="P154" s="257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  <c r="AA154" s="251"/>
      <c r="AB154" s="251"/>
      <c r="AC154" s="251"/>
      <c r="AD154" s="251"/>
      <c r="AE154" s="261"/>
    </row>
    <row r="155" spans="1:31" ht="16" customHeight="1" x14ac:dyDescent="0.35">
      <c r="A155" s="262"/>
      <c r="B155" s="265" t="s">
        <v>628</v>
      </c>
      <c r="C155" s="251"/>
      <c r="D155" s="251"/>
      <c r="E155" s="251"/>
      <c r="F155" s="251"/>
      <c r="G155" s="251"/>
      <c r="H155" s="251"/>
      <c r="I155" s="251"/>
      <c r="J155" s="251"/>
      <c r="K155" s="257"/>
      <c r="L155" s="257"/>
      <c r="M155" s="257"/>
      <c r="N155" s="257"/>
      <c r="O155" s="257"/>
      <c r="P155" s="251"/>
      <c r="Q155" s="251"/>
      <c r="R155" s="251"/>
      <c r="S155" s="251"/>
      <c r="T155" s="251"/>
      <c r="U155" s="251"/>
      <c r="V155" s="261"/>
      <c r="W155" s="260"/>
      <c r="X155" s="256"/>
      <c r="Y155" s="256"/>
      <c r="Z155" s="256"/>
      <c r="AA155" s="256"/>
      <c r="AB155" s="256"/>
      <c r="AC155" s="256"/>
      <c r="AD155" s="256"/>
      <c r="AE155" s="259"/>
    </row>
    <row r="156" spans="1:31" ht="16" customHeight="1" x14ac:dyDescent="0.35">
      <c r="A156" s="262"/>
      <c r="B156" s="265" t="s">
        <v>627</v>
      </c>
      <c r="C156" s="251"/>
      <c r="D156" s="251"/>
      <c r="E156" s="251"/>
      <c r="F156" s="251"/>
      <c r="G156" s="251"/>
      <c r="H156" s="251"/>
      <c r="I156" s="251"/>
      <c r="J156" s="251"/>
      <c r="K156" s="257"/>
      <c r="L156" s="251"/>
      <c r="M156" s="251"/>
      <c r="N156" s="251"/>
      <c r="O156" s="251"/>
      <c r="P156" s="251"/>
      <c r="Q156" s="251"/>
      <c r="R156" s="251"/>
      <c r="S156" s="251"/>
      <c r="T156" s="251"/>
      <c r="U156" s="251"/>
      <c r="V156" s="261"/>
      <c r="W156" s="260"/>
      <c r="X156" s="256"/>
      <c r="Y156" s="256"/>
      <c r="Z156" s="256"/>
      <c r="AA156" s="256"/>
      <c r="AB156" s="256"/>
      <c r="AC156" s="256"/>
      <c r="AD156" s="256"/>
      <c r="AE156" s="259"/>
    </row>
    <row r="157" spans="1:31" ht="16" customHeight="1" x14ac:dyDescent="0.35">
      <c r="A157" s="262"/>
      <c r="B157" s="265" t="s">
        <v>626</v>
      </c>
      <c r="C157" s="251"/>
      <c r="D157" s="251"/>
      <c r="E157" s="251"/>
      <c r="F157" s="251"/>
      <c r="G157" s="251"/>
      <c r="H157" s="251"/>
      <c r="I157" s="251"/>
      <c r="J157" s="251"/>
      <c r="K157" s="266">
        <v>0</v>
      </c>
      <c r="L157" s="257" t="str">
        <f ca="1">IF(SUM($K153:L153)&lt;0,0,-SUM($K153:L153)*28%-SUM($K157:K157))</f>
        <v/>
      </c>
      <c r="M157" s="257" t="str">
        <f ca="1">IF(SUM($K153:M153)&lt;0,0,-SUM($K153:M153)*28%-SUM($K157:L157))</f>
        <v/>
      </c>
      <c r="N157" s="257" t="str">
        <f ca="1">IF(SUM($K153:N153)&lt;0,0,-SUM($K153:N153)*28%-SUM($K157:M157))</f>
        <v/>
      </c>
      <c r="O157" s="257" t="str">
        <f ca="1">IF(SUM($K153:O153)&lt;0,0,-SUM($K153:O153)*28%-SUM($K157:N157))</f>
        <v/>
      </c>
      <c r="P157" s="251"/>
      <c r="Q157" s="251"/>
      <c r="R157" s="251"/>
      <c r="S157" s="251"/>
      <c r="T157" s="251"/>
      <c r="U157" s="251"/>
      <c r="V157" s="261"/>
      <c r="W157" s="260"/>
      <c r="X157" s="256"/>
      <c r="Y157" s="256"/>
      <c r="Z157" s="256"/>
      <c r="AA157" s="256"/>
      <c r="AB157" s="256"/>
      <c r="AC157" s="256"/>
      <c r="AD157" s="256"/>
      <c r="AE157" s="259"/>
    </row>
    <row r="158" spans="1:31" ht="16" customHeight="1" x14ac:dyDescent="0.35">
      <c r="A158" s="262"/>
      <c r="B158" s="264" t="s">
        <v>625</v>
      </c>
      <c r="C158" s="251"/>
      <c r="D158" s="251"/>
      <c r="E158" s="251"/>
      <c r="F158" s="251"/>
      <c r="G158" s="251"/>
      <c r="H158" s="251"/>
      <c r="I158" s="251"/>
      <c r="J158" s="272"/>
      <c r="K158" s="267" t="str">
        <f ca="1">SUM(K153:K157)</f>
        <v/>
      </c>
      <c r="L158" s="267" t="str">
        <f ca="1">SUM(L153:L157)</f>
        <v/>
      </c>
      <c r="M158" s="267" t="str">
        <f ca="1">SUM(M153:M157)</f>
        <v/>
      </c>
      <c r="N158" s="267" t="str">
        <f ca="1">SUM(N153:N157)</f>
        <v/>
      </c>
      <c r="O158" s="267" t="str">
        <f ca="1">SUM(O153:O157)</f>
        <v/>
      </c>
      <c r="P158" s="257"/>
      <c r="Q158" s="251"/>
      <c r="R158" s="251"/>
      <c r="S158" s="251"/>
      <c r="T158" s="251"/>
      <c r="U158" s="251"/>
      <c r="V158" s="261"/>
      <c r="W158" s="260"/>
      <c r="X158" s="256"/>
      <c r="Y158" s="256"/>
      <c r="Z158" s="256"/>
      <c r="AA158" s="256"/>
      <c r="AB158" s="256"/>
      <c r="AC158" s="256"/>
      <c r="AD158" s="256"/>
      <c r="AE158" s="259"/>
    </row>
    <row r="159" spans="1:31" ht="16" customHeight="1" x14ac:dyDescent="0.35">
      <c r="A159" s="262"/>
      <c r="B159" s="251"/>
      <c r="C159" s="251"/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61"/>
      <c r="W159" s="260"/>
      <c r="X159" s="256"/>
      <c r="Y159" s="256"/>
      <c r="Z159" s="256"/>
      <c r="AA159" s="256"/>
      <c r="AB159" s="256"/>
      <c r="AC159" s="256"/>
      <c r="AD159" s="256"/>
      <c r="AE159" s="259"/>
    </row>
    <row r="160" spans="1:31" ht="16" customHeight="1" x14ac:dyDescent="0.35">
      <c r="A160" s="262"/>
      <c r="B160" s="264" t="s">
        <v>624</v>
      </c>
      <c r="C160" s="251"/>
      <c r="D160" s="251"/>
      <c r="E160" s="251"/>
      <c r="F160" s="251"/>
      <c r="G160" s="251"/>
      <c r="H160" s="251"/>
      <c r="I160" s="251"/>
      <c r="J160" s="251"/>
      <c r="K160" s="251"/>
      <c r="L160" s="251"/>
      <c r="M160" s="251"/>
      <c r="N160" s="251"/>
      <c r="O160" s="251"/>
      <c r="P160" s="251"/>
      <c r="Q160" s="251"/>
      <c r="R160" s="251"/>
      <c r="S160" s="251"/>
      <c r="T160" s="251"/>
      <c r="U160" s="251"/>
      <c r="V160" s="261"/>
      <c r="W160" s="260"/>
      <c r="X160" s="256"/>
      <c r="Y160" s="256"/>
      <c r="Z160" s="256"/>
      <c r="AA160" s="256"/>
      <c r="AB160" s="256"/>
      <c r="AC160" s="256"/>
      <c r="AD160" s="256"/>
      <c r="AE160" s="259"/>
    </row>
    <row r="161" spans="1:31" ht="16" customHeight="1" x14ac:dyDescent="0.35">
      <c r="A161" s="262"/>
      <c r="B161" s="264"/>
      <c r="C161" s="251"/>
      <c r="D161" s="251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261"/>
      <c r="W161" s="260"/>
      <c r="X161" s="256"/>
      <c r="Y161" s="256"/>
      <c r="Z161" s="256"/>
      <c r="AA161" s="256"/>
      <c r="AB161" s="256"/>
      <c r="AC161" s="256"/>
      <c r="AD161" s="256"/>
      <c r="AE161" s="259"/>
    </row>
    <row r="162" spans="1:31" ht="16" customHeight="1" x14ac:dyDescent="0.35">
      <c r="A162" s="262"/>
      <c r="B162" s="263" t="s">
        <v>623</v>
      </c>
      <c r="C162" s="251"/>
      <c r="D162" s="251"/>
      <c r="E162" s="251"/>
      <c r="F162" s="251"/>
      <c r="G162" s="251"/>
      <c r="H162" s="251"/>
      <c r="I162" s="251"/>
      <c r="J162" s="251"/>
      <c r="K162" s="271"/>
      <c r="L162" s="271"/>
      <c r="M162" s="271"/>
      <c r="N162" s="271"/>
      <c r="O162" s="271"/>
      <c r="P162" s="251"/>
      <c r="Q162" s="251"/>
      <c r="R162" s="251"/>
      <c r="S162" s="251"/>
      <c r="T162" s="251"/>
      <c r="U162" s="251"/>
      <c r="V162" s="261"/>
      <c r="W162" s="260"/>
      <c r="X162" s="256"/>
      <c r="Y162" s="256"/>
      <c r="Z162" s="256"/>
      <c r="AA162" s="256"/>
      <c r="AB162" s="256"/>
      <c r="AC162" s="256"/>
      <c r="AD162" s="256"/>
      <c r="AE162" s="259"/>
    </row>
    <row r="163" spans="1:31" ht="16" customHeight="1" x14ac:dyDescent="0.35">
      <c r="A163" s="262"/>
      <c r="B163" s="263" t="s">
        <v>611</v>
      </c>
      <c r="C163" s="251"/>
      <c r="D163" s="251"/>
      <c r="E163" s="251"/>
      <c r="F163" s="251"/>
      <c r="G163" s="251"/>
      <c r="H163" s="251"/>
      <c r="I163" s="251"/>
      <c r="J163" s="257">
        <v>36000</v>
      </c>
      <c r="K163" s="257">
        <f>$J$163*K164</f>
        <v>108000</v>
      </c>
      <c r="L163" s="257">
        <f>$J$163*L164</f>
        <v>72000</v>
      </c>
      <c r="M163" s="257">
        <f>$J$163*M164</f>
        <v>72000</v>
      </c>
      <c r="N163" s="257">
        <f>$J$163*N164</f>
        <v>72000</v>
      </c>
      <c r="O163" s="257">
        <f>$J$163*O164</f>
        <v>72000</v>
      </c>
      <c r="P163" s="266">
        <v>5</v>
      </c>
      <c r="Q163" s="251"/>
      <c r="R163" s="251"/>
      <c r="S163" s="251"/>
      <c r="T163" s="251"/>
      <c r="U163" s="251"/>
      <c r="V163" s="261"/>
      <c r="W163" s="260"/>
      <c r="X163" s="256"/>
      <c r="Y163" s="256"/>
      <c r="Z163" s="256"/>
      <c r="AA163" s="256"/>
      <c r="AB163" s="256"/>
      <c r="AC163" s="256"/>
      <c r="AD163" s="256"/>
      <c r="AE163" s="259"/>
    </row>
    <row r="164" spans="1:31" ht="16" customHeight="1" x14ac:dyDescent="0.35">
      <c r="A164" s="262"/>
      <c r="B164" s="265" t="s">
        <v>622</v>
      </c>
      <c r="C164" s="251"/>
      <c r="D164" s="251"/>
      <c r="E164" s="251"/>
      <c r="F164" s="251"/>
      <c r="G164" s="251"/>
      <c r="H164" s="251"/>
      <c r="I164" s="251"/>
      <c r="J164" s="251"/>
      <c r="K164" s="266">
        <v>3</v>
      </c>
      <c r="L164" s="266">
        <v>2</v>
      </c>
      <c r="M164" s="266">
        <v>2</v>
      </c>
      <c r="N164" s="266">
        <v>2</v>
      </c>
      <c r="O164" s="266">
        <v>2</v>
      </c>
      <c r="P164" s="251"/>
      <c r="Q164" s="251"/>
      <c r="R164" s="251"/>
      <c r="S164" s="251"/>
      <c r="T164" s="251"/>
      <c r="U164" s="251"/>
      <c r="V164" s="261"/>
      <c r="W164" s="260"/>
      <c r="X164" s="256"/>
      <c r="Y164" s="256"/>
      <c r="Z164" s="256"/>
      <c r="AA164" s="256"/>
      <c r="AB164" s="256"/>
      <c r="AC164" s="256"/>
      <c r="AD164" s="256"/>
      <c r="AE164" s="259"/>
    </row>
    <row r="165" spans="1:31" ht="16" customHeight="1" x14ac:dyDescent="0.35">
      <c r="A165" s="262"/>
      <c r="B165" s="264" t="s">
        <v>611</v>
      </c>
      <c r="C165" s="251"/>
      <c r="D165" s="251"/>
      <c r="E165" s="251"/>
      <c r="F165" s="251"/>
      <c r="G165" s="251"/>
      <c r="H165" s="251"/>
      <c r="I165" s="251"/>
      <c r="J165" s="267"/>
      <c r="K165" s="267">
        <f>K163</f>
        <v>108000</v>
      </c>
      <c r="L165" s="267">
        <f>L163</f>
        <v>72000</v>
      </c>
      <c r="M165" s="267">
        <f>M163</f>
        <v>72000</v>
      </c>
      <c r="N165" s="267">
        <f>N163</f>
        <v>72000</v>
      </c>
      <c r="O165" s="267">
        <f>O163</f>
        <v>72000</v>
      </c>
      <c r="P165" s="266">
        <v>5</v>
      </c>
      <c r="Q165" s="265" t="s">
        <v>608</v>
      </c>
      <c r="R165" s="251"/>
      <c r="S165" s="251"/>
      <c r="T165" s="251"/>
      <c r="U165" s="257">
        <f>SUM(J165:O165)</f>
        <v>396000</v>
      </c>
      <c r="V165" s="270">
        <f>U165-U180-U185</f>
        <v>0</v>
      </c>
      <c r="W165" s="260"/>
      <c r="X165" s="256"/>
      <c r="Y165" s="256"/>
      <c r="Z165" s="256"/>
      <c r="AA165" s="256"/>
      <c r="AB165" s="256"/>
      <c r="AC165" s="256"/>
      <c r="AD165" s="256"/>
      <c r="AE165" s="259"/>
    </row>
    <row r="166" spans="1:31" ht="16" hidden="1" customHeight="1" x14ac:dyDescent="0.35">
      <c r="A166" s="262"/>
      <c r="B166" s="256"/>
      <c r="C166" s="251"/>
      <c r="D166" s="251"/>
      <c r="E166" s="251"/>
      <c r="F166" s="251"/>
      <c r="G166" s="251"/>
      <c r="H166" s="251"/>
      <c r="I166" s="251"/>
      <c r="J166" s="251"/>
      <c r="K166" s="257"/>
      <c r="L166" s="257"/>
      <c r="M166" s="257"/>
      <c r="N166" s="257"/>
      <c r="O166" s="257"/>
      <c r="P166" s="251"/>
      <c r="Q166" s="265"/>
      <c r="R166" s="251"/>
      <c r="S166" s="251"/>
      <c r="T166" s="251"/>
      <c r="U166" s="257"/>
      <c r="V166" s="270"/>
      <c r="W166" s="260"/>
      <c r="X166" s="256"/>
      <c r="Y166" s="256"/>
      <c r="Z166" s="256"/>
      <c r="AA166" s="256"/>
      <c r="AB166" s="256"/>
      <c r="AC166" s="256"/>
      <c r="AD166" s="256"/>
      <c r="AE166" s="259"/>
    </row>
    <row r="167" spans="1:31" ht="16" hidden="1" customHeight="1" x14ac:dyDescent="0.35">
      <c r="A167" s="262"/>
      <c r="B167" s="265" t="s">
        <v>621</v>
      </c>
      <c r="C167" s="251"/>
      <c r="D167" s="251"/>
      <c r="E167" s="251"/>
      <c r="F167" s="251"/>
      <c r="G167" s="251"/>
      <c r="H167" s="251"/>
      <c r="I167" s="251"/>
      <c r="J167" s="251"/>
      <c r="K167" s="257">
        <f t="shared" ref="K167:O172" si="0">K106</f>
        <v>0</v>
      </c>
      <c r="L167" s="257">
        <f t="shared" si="0"/>
        <v>0</v>
      </c>
      <c r="M167" s="257">
        <f t="shared" si="0"/>
        <v>0</v>
      </c>
      <c r="N167" s="257">
        <f t="shared" si="0"/>
        <v>0</v>
      </c>
      <c r="O167" s="257">
        <f t="shared" si="0"/>
        <v>0</v>
      </c>
      <c r="P167" s="251"/>
      <c r="Q167" s="265"/>
      <c r="R167" s="251"/>
      <c r="S167" s="251"/>
      <c r="T167" s="251"/>
      <c r="U167" s="257"/>
      <c r="V167" s="270"/>
      <c r="W167" s="260"/>
      <c r="X167" s="256"/>
      <c r="Y167" s="256"/>
      <c r="Z167" s="256"/>
      <c r="AA167" s="256"/>
      <c r="AB167" s="256"/>
      <c r="AC167" s="256"/>
      <c r="AD167" s="256"/>
      <c r="AE167" s="259"/>
    </row>
    <row r="168" spans="1:31" ht="16" hidden="1" customHeight="1" x14ac:dyDescent="0.35">
      <c r="A168" s="262"/>
      <c r="B168" s="265" t="s">
        <v>620</v>
      </c>
      <c r="C168" s="251"/>
      <c r="D168" s="251"/>
      <c r="E168" s="251"/>
      <c r="F168" s="266">
        <v>40000</v>
      </c>
      <c r="G168" s="251"/>
      <c r="H168" s="251"/>
      <c r="I168" s="251"/>
      <c r="J168" s="251"/>
      <c r="K168" s="266">
        <f t="shared" si="0"/>
        <v>0</v>
      </c>
      <c r="L168" s="266">
        <f t="shared" si="0"/>
        <v>0</v>
      </c>
      <c r="M168" s="266">
        <f t="shared" si="0"/>
        <v>0</v>
      </c>
      <c r="N168" s="266">
        <f t="shared" si="0"/>
        <v>0</v>
      </c>
      <c r="O168" s="266">
        <f t="shared" si="0"/>
        <v>0</v>
      </c>
      <c r="P168" s="266">
        <v>5</v>
      </c>
      <c r="Q168" s="265" t="s">
        <v>608</v>
      </c>
      <c r="R168" s="251"/>
      <c r="S168" s="251"/>
      <c r="T168" s="251"/>
      <c r="U168" s="251"/>
      <c r="V168" s="261"/>
      <c r="W168" s="260"/>
      <c r="X168" s="256"/>
      <c r="Y168" s="256"/>
      <c r="Z168" s="256"/>
      <c r="AA168" s="256"/>
      <c r="AB168" s="256"/>
      <c r="AC168" s="256"/>
      <c r="AD168" s="256"/>
      <c r="AE168" s="259"/>
    </row>
    <row r="169" spans="1:31" ht="16" hidden="1" customHeight="1" x14ac:dyDescent="0.35">
      <c r="A169" s="262"/>
      <c r="B169" s="265" t="s">
        <v>619</v>
      </c>
      <c r="C169" s="251"/>
      <c r="D169" s="251"/>
      <c r="E169" s="251"/>
      <c r="F169" s="266">
        <v>80000</v>
      </c>
      <c r="G169" s="251"/>
      <c r="H169" s="251"/>
      <c r="I169" s="251"/>
      <c r="J169" s="251"/>
      <c r="K169" s="266">
        <f t="shared" si="0"/>
        <v>0</v>
      </c>
      <c r="L169" s="266">
        <f t="shared" si="0"/>
        <v>0</v>
      </c>
      <c r="M169" s="266">
        <f t="shared" si="0"/>
        <v>0</v>
      </c>
      <c r="N169" s="266">
        <f t="shared" si="0"/>
        <v>0</v>
      </c>
      <c r="O169" s="266">
        <f t="shared" si="0"/>
        <v>0</v>
      </c>
      <c r="P169" s="266">
        <v>5</v>
      </c>
      <c r="Q169" s="265" t="s">
        <v>608</v>
      </c>
      <c r="R169" s="251"/>
      <c r="S169" s="251"/>
      <c r="T169" s="251"/>
      <c r="U169" s="251"/>
      <c r="V169" s="261"/>
      <c r="W169" s="260"/>
      <c r="X169" s="256"/>
      <c r="Y169" s="256"/>
      <c r="Z169" s="256"/>
      <c r="AA169" s="256"/>
      <c r="AB169" s="256"/>
      <c r="AC169" s="256"/>
      <c r="AD169" s="256"/>
      <c r="AE169" s="259"/>
    </row>
    <row r="170" spans="1:31" ht="16" hidden="1" customHeight="1" x14ac:dyDescent="0.35">
      <c r="A170" s="262"/>
      <c r="B170" s="265" t="s">
        <v>618</v>
      </c>
      <c r="C170" s="251"/>
      <c r="D170" s="251"/>
      <c r="E170" s="251"/>
      <c r="F170" s="266">
        <v>80000</v>
      </c>
      <c r="G170" s="251"/>
      <c r="H170" s="251"/>
      <c r="I170" s="251"/>
      <c r="J170" s="251"/>
      <c r="K170" s="266">
        <f t="shared" si="0"/>
        <v>0</v>
      </c>
      <c r="L170" s="266">
        <f t="shared" si="0"/>
        <v>0</v>
      </c>
      <c r="M170" s="266">
        <f t="shared" si="0"/>
        <v>0</v>
      </c>
      <c r="N170" s="266">
        <f t="shared" si="0"/>
        <v>0</v>
      </c>
      <c r="O170" s="266">
        <f t="shared" si="0"/>
        <v>0</v>
      </c>
      <c r="P170" s="266">
        <v>5</v>
      </c>
      <c r="Q170" s="265" t="s">
        <v>608</v>
      </c>
      <c r="R170" s="251"/>
      <c r="S170" s="251"/>
      <c r="T170" s="251"/>
      <c r="U170" s="251"/>
      <c r="V170" s="261"/>
      <c r="W170" s="260"/>
      <c r="X170" s="256"/>
      <c r="Y170" s="256"/>
      <c r="Z170" s="256"/>
      <c r="AA170" s="256"/>
      <c r="AB170" s="256"/>
      <c r="AC170" s="256"/>
      <c r="AD170" s="256"/>
      <c r="AE170" s="259"/>
    </row>
    <row r="171" spans="1:31" ht="16" hidden="1" customHeight="1" x14ac:dyDescent="0.35">
      <c r="A171" s="262"/>
      <c r="B171" s="265" t="s">
        <v>617</v>
      </c>
      <c r="C171" s="251"/>
      <c r="D171" s="251"/>
      <c r="E171" s="251"/>
      <c r="F171" s="266">
        <v>125000</v>
      </c>
      <c r="G171" s="251"/>
      <c r="H171" s="251"/>
      <c r="I171" s="251"/>
      <c r="J171" s="251"/>
      <c r="K171" s="266">
        <f t="shared" si="0"/>
        <v>0</v>
      </c>
      <c r="L171" s="266">
        <f t="shared" si="0"/>
        <v>0</v>
      </c>
      <c r="M171" s="266">
        <f t="shared" si="0"/>
        <v>0</v>
      </c>
      <c r="N171" s="266">
        <f t="shared" si="0"/>
        <v>0</v>
      </c>
      <c r="O171" s="266">
        <f t="shared" si="0"/>
        <v>0</v>
      </c>
      <c r="P171" s="266">
        <v>5</v>
      </c>
      <c r="Q171" s="265" t="s">
        <v>608</v>
      </c>
      <c r="R171" s="251"/>
      <c r="S171" s="251"/>
      <c r="T171" s="251"/>
      <c r="U171" s="251"/>
      <c r="V171" s="261"/>
      <c r="W171" s="260"/>
      <c r="X171" s="256"/>
      <c r="Y171" s="256"/>
      <c r="Z171" s="256"/>
      <c r="AA171" s="256"/>
      <c r="AB171" s="256"/>
      <c r="AC171" s="256"/>
      <c r="AD171" s="256"/>
      <c r="AE171" s="259"/>
    </row>
    <row r="172" spans="1:31" ht="15.75" hidden="1" customHeight="1" x14ac:dyDescent="0.35">
      <c r="A172" s="262"/>
      <c r="B172" s="265" t="s">
        <v>616</v>
      </c>
      <c r="C172" s="251"/>
      <c r="D172" s="251"/>
      <c r="E172" s="251"/>
      <c r="F172" s="266">
        <v>250000</v>
      </c>
      <c r="G172" s="251"/>
      <c r="H172" s="251"/>
      <c r="I172" s="251"/>
      <c r="J172" s="251"/>
      <c r="K172" s="266">
        <f t="shared" si="0"/>
        <v>0</v>
      </c>
      <c r="L172" s="266">
        <f t="shared" si="0"/>
        <v>0</v>
      </c>
      <c r="M172" s="266">
        <f t="shared" si="0"/>
        <v>0</v>
      </c>
      <c r="N172" s="266">
        <f t="shared" si="0"/>
        <v>0</v>
      </c>
      <c r="O172" s="266">
        <f t="shared" si="0"/>
        <v>0</v>
      </c>
      <c r="P172" s="266">
        <v>5</v>
      </c>
      <c r="Q172" s="265" t="s">
        <v>608</v>
      </c>
      <c r="R172" s="251"/>
      <c r="S172" s="251"/>
      <c r="T172" s="251"/>
      <c r="U172" s="266">
        <f>SUM(J172:O172)</f>
        <v>0</v>
      </c>
      <c r="V172" s="270">
        <f>U172-U181-U186</f>
        <v>0</v>
      </c>
      <c r="W172" s="260"/>
      <c r="X172" s="256"/>
      <c r="Y172" s="256"/>
      <c r="Z172" s="256"/>
      <c r="AA172" s="256"/>
      <c r="AB172" s="256"/>
      <c r="AC172" s="256"/>
      <c r="AD172" s="256"/>
      <c r="AE172" s="259"/>
    </row>
    <row r="173" spans="1:31" ht="16" hidden="1" customHeight="1" x14ac:dyDescent="0.35">
      <c r="A173" s="262"/>
      <c r="B173" s="264" t="s">
        <v>615</v>
      </c>
      <c r="C173" s="251"/>
      <c r="D173" s="251"/>
      <c r="E173" s="251"/>
      <c r="F173" s="251"/>
      <c r="G173" s="251"/>
      <c r="H173" s="251"/>
      <c r="I173" s="251"/>
      <c r="J173" s="267"/>
      <c r="K173" s="267">
        <f>K172*$F$172+K171*$F$171+K170*$F$170+K169*$F$169+K168*$F$168</f>
        <v>0</v>
      </c>
      <c r="L173" s="267">
        <f>L172*$F$172+L171*$F$171+L170*$F$170+L169*$F$169+L168*$F$168</f>
        <v>0</v>
      </c>
      <c r="M173" s="267">
        <f>M172*$F$172+M171*$F$171+M170*$F$170+M169*$F$169+M168*$F$168</f>
        <v>0</v>
      </c>
      <c r="N173" s="267">
        <f>N172*$F$172+N171*$F$171+N170*$F$170+N169*$F$169+N168*$F$168</f>
        <v>0</v>
      </c>
      <c r="O173" s="267">
        <f>O172*$F$172+O171*$F$171+O170*$F$170+O169*$F$169+O168*$F$168</f>
        <v>0</v>
      </c>
      <c r="P173" s="251"/>
      <c r="Q173" s="251"/>
      <c r="R173" s="251"/>
      <c r="S173" s="251"/>
      <c r="T173" s="251"/>
      <c r="U173" s="251"/>
      <c r="V173" s="261"/>
      <c r="W173" s="260"/>
      <c r="X173" s="256"/>
      <c r="Y173" s="256"/>
      <c r="Z173" s="256"/>
      <c r="AA173" s="256"/>
      <c r="AB173" s="256"/>
      <c r="AC173" s="256"/>
      <c r="AD173" s="256"/>
      <c r="AE173" s="259"/>
    </row>
    <row r="174" spans="1:31" ht="16" customHeight="1" x14ac:dyDescent="0.35">
      <c r="A174" s="262"/>
      <c r="B174" s="264"/>
      <c r="C174" s="251"/>
      <c r="D174" s="251"/>
      <c r="E174" s="251"/>
      <c r="F174" s="251"/>
      <c r="G174" s="251"/>
      <c r="H174" s="251"/>
      <c r="I174" s="251"/>
      <c r="J174" s="267"/>
      <c r="K174" s="267"/>
      <c r="L174" s="267"/>
      <c r="M174" s="267"/>
      <c r="N174" s="267"/>
      <c r="O174" s="267"/>
      <c r="P174" s="251"/>
      <c r="Q174" s="251"/>
      <c r="R174" s="251"/>
      <c r="S174" s="251"/>
      <c r="T174" s="251"/>
      <c r="U174" s="251"/>
      <c r="V174" s="261"/>
      <c r="W174" s="260"/>
      <c r="X174" s="256"/>
      <c r="Y174" s="256"/>
      <c r="Z174" s="256"/>
      <c r="AA174" s="256"/>
      <c r="AB174" s="256"/>
      <c r="AC174" s="256"/>
      <c r="AD174" s="256"/>
      <c r="AE174" s="259"/>
    </row>
    <row r="175" spans="1:31" ht="16" customHeight="1" x14ac:dyDescent="0.35">
      <c r="A175" s="262"/>
      <c r="B175" s="264" t="s">
        <v>609</v>
      </c>
      <c r="C175" s="251"/>
      <c r="D175" s="251"/>
      <c r="E175" s="251"/>
      <c r="F175" s="251"/>
      <c r="G175" s="251"/>
      <c r="H175" s="251"/>
      <c r="I175" s="251"/>
      <c r="J175" s="267">
        <v>15000</v>
      </c>
      <c r="K175" s="267">
        <v>15000</v>
      </c>
      <c r="L175" s="267">
        <f>L6/K6*K175</f>
        <v>37500</v>
      </c>
      <c r="M175" s="267">
        <f>M6/L6*L175</f>
        <v>60000</v>
      </c>
      <c r="N175" s="267">
        <f>N6/M6*M175</f>
        <v>80000</v>
      </c>
      <c r="O175" s="267">
        <f>O6/N6*N175</f>
        <v>100000</v>
      </c>
      <c r="P175" s="266">
        <v>3</v>
      </c>
      <c r="Q175" s="265" t="s">
        <v>608</v>
      </c>
      <c r="R175" s="251"/>
      <c r="S175" s="251"/>
      <c r="T175" s="251"/>
      <c r="U175" s="257">
        <f>SUM(J175:O175)</f>
        <v>307500</v>
      </c>
      <c r="V175" s="270">
        <f>U175-U182-U187</f>
        <v>0</v>
      </c>
      <c r="W175" s="260"/>
      <c r="X175" s="256"/>
      <c r="Y175" s="256"/>
      <c r="Z175" s="256"/>
      <c r="AA175" s="256"/>
      <c r="AB175" s="256"/>
      <c r="AC175" s="256"/>
      <c r="AD175" s="256"/>
      <c r="AE175" s="259"/>
    </row>
    <row r="176" spans="1:31" ht="16" customHeight="1" x14ac:dyDescent="0.35">
      <c r="A176" s="262"/>
      <c r="B176" s="264"/>
      <c r="C176" s="251"/>
      <c r="D176" s="251"/>
      <c r="E176" s="251"/>
      <c r="F176" s="251"/>
      <c r="G176" s="251"/>
      <c r="H176" s="251"/>
      <c r="I176" s="251"/>
      <c r="J176" s="267"/>
      <c r="K176" s="267"/>
      <c r="L176" s="267"/>
      <c r="M176" s="267"/>
      <c r="N176" s="267"/>
      <c r="O176" s="267"/>
      <c r="P176" s="251"/>
      <c r="Q176" s="251"/>
      <c r="R176" s="251"/>
      <c r="S176" s="251"/>
      <c r="T176" s="251"/>
      <c r="U176" s="251"/>
      <c r="V176" s="261"/>
      <c r="W176" s="260"/>
      <c r="X176" s="256"/>
      <c r="Y176" s="256"/>
      <c r="Z176" s="256"/>
      <c r="AA176" s="256"/>
      <c r="AB176" s="256"/>
      <c r="AC176" s="256"/>
      <c r="AD176" s="256"/>
      <c r="AE176" s="259"/>
    </row>
    <row r="177" spans="1:31" ht="16" customHeight="1" x14ac:dyDescent="0.35">
      <c r="A177" s="262"/>
      <c r="B177" s="264" t="s">
        <v>614</v>
      </c>
      <c r="C177" s="251"/>
      <c r="D177" s="251"/>
      <c r="E177" s="251"/>
      <c r="F177" s="251"/>
      <c r="G177" s="251"/>
      <c r="H177" s="251"/>
      <c r="I177" s="251"/>
      <c r="J177" s="267"/>
      <c r="K177" s="267">
        <f>K165+K173+K175</f>
        <v>123000</v>
      </c>
      <c r="L177" s="267">
        <f>L165+L173+L175</f>
        <v>109500</v>
      </c>
      <c r="M177" s="267">
        <f>M165+M173+M175</f>
        <v>132000</v>
      </c>
      <c r="N177" s="267">
        <f>N165+N173+N175</f>
        <v>152000</v>
      </c>
      <c r="O177" s="267">
        <f>O165+O173+O175</f>
        <v>172000</v>
      </c>
      <c r="P177" s="251"/>
      <c r="Q177" s="251"/>
      <c r="R177" s="251"/>
      <c r="S177" s="251"/>
      <c r="T177" s="251"/>
      <c r="U177" s="251"/>
      <c r="V177" s="261"/>
      <c r="W177" s="260"/>
      <c r="X177" s="256"/>
      <c r="Y177" s="256"/>
      <c r="Z177" s="256"/>
      <c r="AA177" s="256"/>
      <c r="AB177" s="256"/>
      <c r="AC177" s="256"/>
      <c r="AD177" s="256"/>
      <c r="AE177" s="259"/>
    </row>
    <row r="178" spans="1:31" ht="16" customHeight="1" x14ac:dyDescent="0.35">
      <c r="A178" s="262"/>
      <c r="B178" s="269"/>
      <c r="C178" s="251"/>
      <c r="D178" s="251"/>
      <c r="E178" s="251"/>
      <c r="F178" s="251"/>
      <c r="G178" s="251"/>
      <c r="H178" s="251"/>
      <c r="I178" s="251"/>
      <c r="J178" s="257"/>
      <c r="K178" s="257"/>
      <c r="L178" s="257"/>
      <c r="M178" s="257"/>
      <c r="N178" s="257"/>
      <c r="O178" s="257"/>
      <c r="P178" s="251"/>
      <c r="Q178" s="251"/>
      <c r="R178" s="251"/>
      <c r="S178" s="251"/>
      <c r="T178" s="251"/>
      <c r="U178" s="251"/>
      <c r="V178" s="261"/>
      <c r="W178" s="260"/>
      <c r="X178" s="256"/>
      <c r="Y178" s="256"/>
      <c r="Z178" s="256"/>
      <c r="AA178" s="256"/>
      <c r="AB178" s="256"/>
      <c r="AC178" s="256"/>
      <c r="AD178" s="256"/>
      <c r="AE178" s="259"/>
    </row>
    <row r="179" spans="1:31" ht="16" customHeight="1" x14ac:dyDescent="0.35">
      <c r="A179" s="262"/>
      <c r="B179" s="268" t="s">
        <v>613</v>
      </c>
      <c r="C179" s="251"/>
      <c r="D179" s="251"/>
      <c r="E179" s="251"/>
      <c r="F179" s="251"/>
      <c r="G179" s="251"/>
      <c r="H179" s="251"/>
      <c r="I179" s="251"/>
      <c r="J179" s="267">
        <f t="shared" ref="J179:O179" si="1">SUM(J180:J182)</f>
        <v>5000</v>
      </c>
      <c r="K179" s="267">
        <f t="shared" si="1"/>
        <v>31600</v>
      </c>
      <c r="L179" s="267">
        <f t="shared" si="1"/>
        <v>58500</v>
      </c>
      <c r="M179" s="267">
        <f t="shared" si="1"/>
        <v>87900</v>
      </c>
      <c r="N179" s="267">
        <f t="shared" si="1"/>
        <v>123966.66666666666</v>
      </c>
      <c r="O179" s="267">
        <f t="shared" si="1"/>
        <v>159200</v>
      </c>
      <c r="P179" s="251"/>
      <c r="Q179" s="251"/>
      <c r="R179" s="251"/>
      <c r="S179" s="251"/>
      <c r="T179" s="251"/>
      <c r="U179" s="251"/>
      <c r="V179" s="261"/>
      <c r="W179" s="260"/>
      <c r="X179" s="256"/>
      <c r="Y179" s="256"/>
      <c r="Z179" s="256"/>
      <c r="AA179" s="256"/>
      <c r="AB179" s="256"/>
      <c r="AC179" s="256"/>
      <c r="AD179" s="256"/>
      <c r="AE179" s="259"/>
    </row>
    <row r="180" spans="1:31" ht="16" customHeight="1" x14ac:dyDescent="0.35">
      <c r="A180" s="262"/>
      <c r="B180" s="265" t="s">
        <v>611</v>
      </c>
      <c r="C180" s="251"/>
      <c r="D180" s="251"/>
      <c r="E180" s="251"/>
      <c r="F180" s="251"/>
      <c r="G180" s="251"/>
      <c r="H180" s="251"/>
      <c r="I180" s="251"/>
      <c r="J180" s="257"/>
      <c r="K180" s="257">
        <f>SUM($J165:K165)/$P$165</f>
        <v>21600</v>
      </c>
      <c r="L180" s="257">
        <f>L165/$P$165+K180</f>
        <v>36000</v>
      </c>
      <c r="M180" s="257">
        <f>M165/$P$165+L180</f>
        <v>50400</v>
      </c>
      <c r="N180" s="257">
        <f>N165/$P$165+M180</f>
        <v>64800</v>
      </c>
      <c r="O180" s="257">
        <f>O165/$P$165+N180</f>
        <v>79200</v>
      </c>
      <c r="P180" s="251"/>
      <c r="Q180" s="251"/>
      <c r="R180" s="251"/>
      <c r="S180" s="251"/>
      <c r="T180" s="251"/>
      <c r="U180" s="257">
        <f>SUM(J180:O180)</f>
        <v>252000</v>
      </c>
      <c r="V180" s="261"/>
      <c r="W180" s="260"/>
      <c r="X180" s="256"/>
      <c r="Y180" s="256"/>
      <c r="Z180" s="256"/>
      <c r="AA180" s="256"/>
      <c r="AB180" s="256"/>
      <c r="AC180" s="256"/>
      <c r="AD180" s="256"/>
      <c r="AE180" s="259"/>
    </row>
    <row r="181" spans="1:31" ht="16" customHeight="1" x14ac:dyDescent="0.35">
      <c r="A181" s="262"/>
      <c r="B181" s="265" t="s">
        <v>610</v>
      </c>
      <c r="C181" s="251"/>
      <c r="D181" s="251"/>
      <c r="E181" s="251"/>
      <c r="F181" s="251"/>
      <c r="G181" s="251"/>
      <c r="H181" s="251"/>
      <c r="I181" s="251"/>
      <c r="J181" s="257"/>
      <c r="K181" s="257">
        <f>K173/$P$168</f>
        <v>0</v>
      </c>
      <c r="L181" s="257">
        <f>L173/$P$172+K181</f>
        <v>0</v>
      </c>
      <c r="M181" s="257">
        <f>M173/$P$172+L181</f>
        <v>0</v>
      </c>
      <c r="N181" s="257">
        <f>N173/$P$172+M181</f>
        <v>0</v>
      </c>
      <c r="O181" s="257">
        <f>O173/$P$172+N181</f>
        <v>0</v>
      </c>
      <c r="P181" s="251"/>
      <c r="Q181" s="251"/>
      <c r="R181" s="251"/>
      <c r="S181" s="251"/>
      <c r="T181" s="251"/>
      <c r="U181" s="257">
        <f>SUM(J181:O181)</f>
        <v>0</v>
      </c>
      <c r="V181" s="261"/>
      <c r="W181" s="260"/>
      <c r="X181" s="256"/>
      <c r="Y181" s="256"/>
      <c r="Z181" s="256"/>
      <c r="AA181" s="256"/>
      <c r="AB181" s="256"/>
      <c r="AC181" s="256"/>
      <c r="AD181" s="256"/>
      <c r="AE181" s="259"/>
    </row>
    <row r="182" spans="1:31" ht="16" customHeight="1" x14ac:dyDescent="0.35">
      <c r="A182" s="262"/>
      <c r="B182" s="265" t="s">
        <v>609</v>
      </c>
      <c r="C182" s="251"/>
      <c r="D182" s="251"/>
      <c r="E182" s="251"/>
      <c r="F182" s="251"/>
      <c r="G182" s="251"/>
      <c r="H182" s="251"/>
      <c r="I182" s="251"/>
      <c r="J182" s="257">
        <f>SUM(I175:J175)/P175</f>
        <v>5000</v>
      </c>
      <c r="K182" s="257">
        <f>SUM(J175:K175)/P175</f>
        <v>10000</v>
      </c>
      <c r="L182" s="257">
        <f>SUM(J175:L175)/P175</f>
        <v>22500</v>
      </c>
      <c r="M182" s="257">
        <f>SUM(K175:M175)/P175</f>
        <v>37500</v>
      </c>
      <c r="N182" s="257">
        <f>SUM(L175:N175)/P175</f>
        <v>59166.666666666664</v>
      </c>
      <c r="O182" s="257">
        <f>SUM(M175:O175)/P175</f>
        <v>80000</v>
      </c>
      <c r="P182" s="251"/>
      <c r="Q182" s="251"/>
      <c r="R182" s="251"/>
      <c r="S182" s="251"/>
      <c r="T182" s="251"/>
      <c r="U182" s="257">
        <f>SUM(J182:O182)</f>
        <v>214166.66666666666</v>
      </c>
      <c r="V182" s="261"/>
      <c r="W182" s="260"/>
      <c r="X182" s="256"/>
      <c r="Y182" s="256"/>
      <c r="Z182" s="256"/>
      <c r="AA182" s="256"/>
      <c r="AB182" s="256"/>
      <c r="AC182" s="256"/>
      <c r="AD182" s="256"/>
      <c r="AE182" s="259"/>
    </row>
    <row r="183" spans="1:31" ht="16" customHeight="1" x14ac:dyDescent="0.35">
      <c r="A183" s="262"/>
      <c r="B183" s="251"/>
      <c r="C183" s="251"/>
      <c r="D183" s="251"/>
      <c r="E183" s="251"/>
      <c r="F183" s="251"/>
      <c r="G183" s="251"/>
      <c r="H183" s="251"/>
      <c r="I183" s="251"/>
      <c r="J183" s="257"/>
      <c r="K183" s="257"/>
      <c r="L183" s="257"/>
      <c r="M183" s="257"/>
      <c r="N183" s="257"/>
      <c r="O183" s="257"/>
      <c r="P183" s="251"/>
      <c r="Q183" s="251"/>
      <c r="R183" s="251"/>
      <c r="S183" s="251"/>
      <c r="T183" s="251"/>
      <c r="U183" s="251"/>
      <c r="V183" s="261"/>
      <c r="W183" s="260"/>
      <c r="X183" s="256"/>
      <c r="Y183" s="256"/>
      <c r="Z183" s="256"/>
      <c r="AA183" s="256"/>
      <c r="AB183" s="256"/>
      <c r="AC183" s="256"/>
      <c r="AD183" s="256"/>
      <c r="AE183" s="259"/>
    </row>
    <row r="184" spans="1:31" ht="16" customHeight="1" x14ac:dyDescent="0.35">
      <c r="A184" s="262"/>
      <c r="B184" s="268" t="s">
        <v>612</v>
      </c>
      <c r="C184" s="251"/>
      <c r="D184" s="251"/>
      <c r="E184" s="251"/>
      <c r="F184" s="251"/>
      <c r="G184" s="251"/>
      <c r="H184" s="251"/>
      <c r="I184" s="251"/>
      <c r="J184" s="267">
        <f t="shared" ref="J184:O184" si="2">SUM(J185:J188)</f>
        <v>10000</v>
      </c>
      <c r="K184" s="267">
        <f t="shared" si="2"/>
        <v>101400</v>
      </c>
      <c r="L184" s="267">
        <f t="shared" si="2"/>
        <v>152400</v>
      </c>
      <c r="M184" s="267">
        <f t="shared" si="2"/>
        <v>196500</v>
      </c>
      <c r="N184" s="267">
        <f t="shared" si="2"/>
        <v>224533.33333333334</v>
      </c>
      <c r="O184" s="267">
        <f t="shared" si="2"/>
        <v>237333.33333333334</v>
      </c>
      <c r="P184" s="251"/>
      <c r="Q184" s="251"/>
      <c r="R184" s="251"/>
      <c r="S184" s="251"/>
      <c r="T184" s="251"/>
      <c r="U184" s="251"/>
      <c r="V184" s="261"/>
      <c r="W184" s="260"/>
      <c r="X184" s="256"/>
      <c r="Y184" s="256"/>
      <c r="Z184" s="256"/>
      <c r="AA184" s="256"/>
      <c r="AB184" s="256"/>
      <c r="AC184" s="256"/>
      <c r="AD184" s="256"/>
      <c r="AE184" s="259"/>
    </row>
    <row r="185" spans="1:31" ht="16" customHeight="1" x14ac:dyDescent="0.35">
      <c r="A185" s="262"/>
      <c r="B185" s="265" t="s">
        <v>611</v>
      </c>
      <c r="C185" s="251"/>
      <c r="D185" s="251"/>
      <c r="E185" s="251"/>
      <c r="F185" s="251"/>
      <c r="G185" s="251"/>
      <c r="H185" s="251"/>
      <c r="I185" s="251"/>
      <c r="J185" s="257">
        <f>J165-J180</f>
        <v>0</v>
      </c>
      <c r="K185" s="257">
        <f>J185+K165-K180</f>
        <v>86400</v>
      </c>
      <c r="L185" s="257">
        <f>K185+L165-L180</f>
        <v>122400</v>
      </c>
      <c r="M185" s="257">
        <f>L185+M165-M180</f>
        <v>144000</v>
      </c>
      <c r="N185" s="257">
        <f>M185+N165-N180</f>
        <v>151200</v>
      </c>
      <c r="O185" s="257">
        <f>N185+O165-O180</f>
        <v>144000</v>
      </c>
      <c r="P185" s="266">
        <v>5</v>
      </c>
      <c r="Q185" s="265" t="s">
        <v>608</v>
      </c>
      <c r="R185" s="251"/>
      <c r="S185" s="251"/>
      <c r="T185" s="251"/>
      <c r="U185" s="257">
        <f>O185</f>
        <v>144000</v>
      </c>
      <c r="V185" s="261"/>
      <c r="W185" s="260"/>
      <c r="X185" s="256"/>
      <c r="Y185" s="256"/>
      <c r="Z185" s="256"/>
      <c r="AA185" s="256"/>
      <c r="AB185" s="256"/>
      <c r="AC185" s="256"/>
      <c r="AD185" s="256"/>
      <c r="AE185" s="259"/>
    </row>
    <row r="186" spans="1:31" ht="16" customHeight="1" x14ac:dyDescent="0.35">
      <c r="A186" s="262"/>
      <c r="B186" s="265" t="s">
        <v>610</v>
      </c>
      <c r="C186" s="251"/>
      <c r="D186" s="251"/>
      <c r="E186" s="251"/>
      <c r="F186" s="251"/>
      <c r="G186" s="251"/>
      <c r="H186" s="251"/>
      <c r="I186" s="251"/>
      <c r="J186" s="257">
        <f>J172-J181</f>
        <v>0</v>
      </c>
      <c r="K186" s="257">
        <f>J186+K173-K181</f>
        <v>0</v>
      </c>
      <c r="L186" s="257">
        <f>K186+L173-L181</f>
        <v>0</v>
      </c>
      <c r="M186" s="257">
        <f>L186+M173-M181</f>
        <v>0</v>
      </c>
      <c r="N186" s="257">
        <f>M186+N173-N181</f>
        <v>0</v>
      </c>
      <c r="O186" s="257">
        <f>N186+O173-O181</f>
        <v>0</v>
      </c>
      <c r="P186" s="266">
        <v>5</v>
      </c>
      <c r="Q186" s="265" t="s">
        <v>608</v>
      </c>
      <c r="R186" s="251"/>
      <c r="S186" s="251"/>
      <c r="T186" s="251"/>
      <c r="U186" s="257">
        <f>O186</f>
        <v>0</v>
      </c>
      <c r="V186" s="261"/>
      <c r="W186" s="260"/>
      <c r="X186" s="256"/>
      <c r="Y186" s="256"/>
      <c r="Z186" s="256"/>
      <c r="AA186" s="256"/>
      <c r="AB186" s="256"/>
      <c r="AC186" s="256"/>
      <c r="AD186" s="256"/>
      <c r="AE186" s="259"/>
    </row>
    <row r="187" spans="1:31" ht="16" customHeight="1" x14ac:dyDescent="0.35">
      <c r="A187" s="262"/>
      <c r="B187" s="265" t="s">
        <v>609</v>
      </c>
      <c r="C187" s="251"/>
      <c r="D187" s="251"/>
      <c r="E187" s="251"/>
      <c r="F187" s="251"/>
      <c r="G187" s="251"/>
      <c r="H187" s="251"/>
      <c r="I187" s="251"/>
      <c r="J187" s="257">
        <f>J175-J182</f>
        <v>10000</v>
      </c>
      <c r="K187" s="257">
        <f>J187+K175-K182</f>
        <v>15000</v>
      </c>
      <c r="L187" s="257">
        <f>K187+L175-L182</f>
        <v>30000</v>
      </c>
      <c r="M187" s="257">
        <f>L187+M175-M182</f>
        <v>52500</v>
      </c>
      <c r="N187" s="257">
        <f>M187+N175-N182</f>
        <v>73333.333333333343</v>
      </c>
      <c r="O187" s="257">
        <f>N187+O175-O182</f>
        <v>93333.333333333343</v>
      </c>
      <c r="P187" s="266">
        <v>3</v>
      </c>
      <c r="Q187" s="265" t="s">
        <v>608</v>
      </c>
      <c r="R187" s="251"/>
      <c r="S187" s="251"/>
      <c r="T187" s="251"/>
      <c r="U187" s="257">
        <f>O187</f>
        <v>93333.333333333343</v>
      </c>
      <c r="V187" s="261"/>
      <c r="W187" s="260"/>
      <c r="X187" s="256"/>
      <c r="Y187" s="256"/>
      <c r="Z187" s="256"/>
      <c r="AA187" s="256"/>
      <c r="AB187" s="256"/>
      <c r="AC187" s="256"/>
      <c r="AD187" s="256"/>
      <c r="AE187" s="259"/>
    </row>
    <row r="188" spans="1:31" ht="16" customHeight="1" x14ac:dyDescent="0.35">
      <c r="A188" s="262"/>
      <c r="B188" s="251"/>
      <c r="C188" s="251"/>
      <c r="D188" s="251"/>
      <c r="E188" s="251"/>
      <c r="F188" s="251"/>
      <c r="G188" s="251"/>
      <c r="H188" s="251"/>
      <c r="I188" s="251"/>
      <c r="J188" s="251"/>
      <c r="K188" s="251"/>
      <c r="L188" s="251"/>
      <c r="M188" s="251"/>
      <c r="N188" s="251"/>
      <c r="O188" s="251"/>
      <c r="P188" s="251"/>
      <c r="Q188" s="251"/>
      <c r="R188" s="251"/>
      <c r="S188" s="251"/>
      <c r="T188" s="251"/>
      <c r="U188" s="251"/>
      <c r="V188" s="261"/>
      <c r="W188" s="260"/>
      <c r="X188" s="256"/>
      <c r="Y188" s="256"/>
      <c r="Z188" s="256"/>
      <c r="AA188" s="256"/>
      <c r="AB188" s="256"/>
      <c r="AC188" s="256"/>
      <c r="AD188" s="256"/>
      <c r="AE188" s="259"/>
    </row>
    <row r="189" spans="1:31" ht="16" customHeight="1" x14ac:dyDescent="0.35">
      <c r="A189" s="262"/>
      <c r="B189" s="264" t="s">
        <v>607</v>
      </c>
      <c r="C189" s="251"/>
      <c r="D189" s="251"/>
      <c r="E189" s="251"/>
      <c r="F189" s="251"/>
      <c r="G189" s="251"/>
      <c r="H189" s="251"/>
      <c r="I189" s="251"/>
      <c r="J189" s="251"/>
      <c r="K189" s="251"/>
      <c r="L189" s="251"/>
      <c r="M189" s="251"/>
      <c r="N189" s="251"/>
      <c r="O189" s="251"/>
      <c r="P189" s="251"/>
      <c r="Q189" s="251"/>
      <c r="R189" s="251"/>
      <c r="S189" s="251"/>
      <c r="T189" s="251"/>
      <c r="U189" s="251"/>
      <c r="V189" s="261"/>
      <c r="W189" s="260"/>
      <c r="X189" s="256"/>
      <c r="Y189" s="256"/>
      <c r="Z189" s="256"/>
      <c r="AA189" s="256"/>
      <c r="AB189" s="256"/>
      <c r="AC189" s="256"/>
      <c r="AD189" s="256"/>
      <c r="AE189" s="259"/>
    </row>
    <row r="190" spans="1:31" ht="16" customHeight="1" x14ac:dyDescent="0.35">
      <c r="A190" s="262"/>
      <c r="B190" s="263" t="s">
        <v>606</v>
      </c>
      <c r="C190" s="251"/>
      <c r="D190" s="251"/>
      <c r="E190" s="251"/>
      <c r="F190" s="251"/>
      <c r="G190" s="251"/>
      <c r="H190" s="251"/>
      <c r="I190" s="251"/>
      <c r="J190" s="257"/>
      <c r="K190" s="257">
        <v>0</v>
      </c>
      <c r="L190" s="257">
        <v>0</v>
      </c>
      <c r="M190" s="257">
        <v>0</v>
      </c>
      <c r="N190" s="257">
        <v>0</v>
      </c>
      <c r="O190" s="257">
        <v>0</v>
      </c>
      <c r="P190" s="251"/>
      <c r="Q190" s="251"/>
      <c r="R190" s="251"/>
      <c r="S190" s="251"/>
      <c r="T190" s="251"/>
      <c r="U190" s="251"/>
      <c r="V190" s="261"/>
      <c r="W190" s="260"/>
      <c r="X190" s="256"/>
      <c r="Y190" s="256"/>
      <c r="Z190" s="256"/>
      <c r="AA190" s="256"/>
      <c r="AB190" s="256"/>
      <c r="AC190" s="256"/>
      <c r="AD190" s="256"/>
      <c r="AE190" s="259"/>
    </row>
    <row r="191" spans="1:31" ht="16" customHeight="1" x14ac:dyDescent="0.35">
      <c r="A191" s="262"/>
      <c r="B191" s="263" t="s">
        <v>605</v>
      </c>
      <c r="C191" s="251"/>
      <c r="D191" s="251"/>
      <c r="E191" s="251"/>
      <c r="F191" s="251"/>
      <c r="G191" s="251"/>
      <c r="H191" s="251"/>
      <c r="I191" s="251"/>
      <c r="J191" s="251"/>
      <c r="K191" s="257">
        <f>-SUM($J190:K190)/5</f>
        <v>0</v>
      </c>
      <c r="L191" s="257">
        <f>-SUM($J190:L190)/5</f>
        <v>0</v>
      </c>
      <c r="M191" s="257">
        <f>-SUM($J190:M190)/5</f>
        <v>0</v>
      </c>
      <c r="N191" s="257">
        <f>-SUM($J190:N190)/5</f>
        <v>0</v>
      </c>
      <c r="O191" s="257">
        <f>-SUM($J190:O190)/5</f>
        <v>0</v>
      </c>
      <c r="P191" s="251"/>
      <c r="Q191" s="251"/>
      <c r="R191" s="251"/>
      <c r="S191" s="251"/>
      <c r="T191" s="251"/>
      <c r="U191" s="251"/>
      <c r="V191" s="261"/>
      <c r="W191" s="260"/>
      <c r="X191" s="256"/>
      <c r="Y191" s="256"/>
      <c r="Z191" s="256"/>
      <c r="AA191" s="256"/>
      <c r="AB191" s="256"/>
      <c r="AC191" s="256"/>
      <c r="AD191" s="256"/>
      <c r="AE191" s="259"/>
    </row>
    <row r="192" spans="1:31" ht="16" customHeight="1" x14ac:dyDescent="0.35">
      <c r="A192" s="262"/>
      <c r="B192" s="251"/>
      <c r="C192" s="251"/>
      <c r="D192" s="251"/>
      <c r="E192" s="251"/>
      <c r="F192" s="251"/>
      <c r="G192" s="251"/>
      <c r="H192" s="251"/>
      <c r="I192" s="251"/>
      <c r="J192" s="251"/>
      <c r="K192" s="251"/>
      <c r="L192" s="251"/>
      <c r="M192" s="251"/>
      <c r="N192" s="251"/>
      <c r="O192" s="251"/>
      <c r="P192" s="251"/>
      <c r="Q192" s="251"/>
      <c r="R192" s="251"/>
      <c r="S192" s="251"/>
      <c r="T192" s="251"/>
      <c r="U192" s="251"/>
      <c r="V192" s="261"/>
      <c r="W192" s="260"/>
      <c r="X192" s="256"/>
      <c r="Y192" s="256"/>
      <c r="Z192" s="256"/>
      <c r="AA192" s="256"/>
      <c r="AB192" s="256"/>
      <c r="AC192" s="256"/>
      <c r="AD192" s="256"/>
      <c r="AE192" s="259"/>
    </row>
    <row r="193" spans="1:31" s="255" customFormat="1" ht="16" customHeight="1" x14ac:dyDescent="0.35">
      <c r="A193" s="258"/>
      <c r="B193" s="251"/>
      <c r="C193" s="251"/>
      <c r="D193" s="251"/>
      <c r="E193" s="251"/>
      <c r="F193" s="251"/>
      <c r="G193" s="251"/>
      <c r="H193" s="251"/>
      <c r="I193" s="251"/>
      <c r="J193" s="257"/>
      <c r="K193" s="257"/>
      <c r="L193" s="257"/>
      <c r="M193" s="257"/>
      <c r="N193" s="257"/>
      <c r="O193" s="257"/>
      <c r="P193" s="251"/>
      <c r="Q193" s="251"/>
      <c r="R193" s="251"/>
      <c r="S193" s="251"/>
      <c r="T193" s="251"/>
      <c r="U193" s="251"/>
      <c r="V193" s="251"/>
      <c r="W193" s="256"/>
      <c r="X193" s="256"/>
      <c r="Y193" s="256"/>
      <c r="Z193" s="256"/>
      <c r="AA193" s="256"/>
      <c r="AB193" s="256"/>
      <c r="AC193" s="256"/>
      <c r="AD193" s="256"/>
      <c r="AE193" s="256"/>
    </row>
  </sheetData>
  <mergeCells count="1">
    <mergeCell ref="I91:J91"/>
  </mergeCells>
  <pageMargins left="0.7" right="0.7" top="0.75" bottom="0.75" header="0.3" footer="0.3"/>
  <pageSetup scale="40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55B1-27B0-47D9-A250-339667DC194A}">
  <sheetPr>
    <pageSetUpPr fitToPage="1"/>
  </sheetPr>
  <dimension ref="B1:BJ153"/>
  <sheetViews>
    <sheetView topLeftCell="A26" zoomScale="116" zoomScaleNormal="70" workbookViewId="0">
      <selection activeCell="A46" sqref="A46:XFD46"/>
    </sheetView>
  </sheetViews>
  <sheetFormatPr baseColWidth="10" defaultColWidth="8.61328125" defaultRowHeight="12.5" outlineLevelRow="1" x14ac:dyDescent="0.25"/>
  <cols>
    <col min="1" max="1" width="1.15234375" style="289" customWidth="1"/>
    <col min="2" max="2" width="33.4609375" style="289" customWidth="1"/>
    <col min="3" max="8" width="1.61328125" style="289" customWidth="1"/>
    <col min="9" max="9" width="9.61328125" style="289" customWidth="1"/>
    <col min="10" max="10" width="8.15234375" style="290" customWidth="1"/>
    <col min="11" max="15" width="12.61328125" style="290" customWidth="1"/>
    <col min="16" max="16" width="7.84375" style="290" customWidth="1"/>
    <col min="17" max="17" width="8.84375" style="290" customWidth="1"/>
    <col min="18" max="32" width="8.61328125" style="289"/>
    <col min="33" max="33" width="29.84375" style="289" bestFit="1" customWidth="1"/>
    <col min="34" max="16384" width="8.61328125" style="289"/>
  </cols>
  <sheetData>
    <row r="1" spans="2:39" ht="13" x14ac:dyDescent="0.25">
      <c r="B1" s="311"/>
      <c r="C1" s="311"/>
      <c r="D1" s="311"/>
      <c r="E1" s="311"/>
      <c r="F1" s="311"/>
      <c r="G1" s="311"/>
      <c r="H1" s="311"/>
      <c r="I1" s="311"/>
      <c r="J1" s="309">
        <v>2022</v>
      </c>
      <c r="K1" s="385">
        <f>J1+1</f>
        <v>2023</v>
      </c>
      <c r="L1" s="385">
        <f>K1+1</f>
        <v>2024</v>
      </c>
      <c r="M1" s="385">
        <f>L1+1</f>
        <v>2025</v>
      </c>
      <c r="N1" s="385">
        <f>M1+1</f>
        <v>2026</v>
      </c>
      <c r="O1" s="385">
        <f>N1+1</f>
        <v>2027</v>
      </c>
      <c r="P1" s="309"/>
      <c r="Q1" s="308" t="s">
        <v>808</v>
      </c>
    </row>
    <row r="2" spans="2:39" ht="1" customHeight="1" x14ac:dyDescent="0.25">
      <c r="B2" s="252"/>
      <c r="C2" s="252"/>
      <c r="D2" s="252"/>
      <c r="E2" s="252"/>
      <c r="F2" s="252"/>
      <c r="G2" s="252"/>
      <c r="H2" s="252"/>
      <c r="I2" s="252"/>
      <c r="J2" s="329"/>
      <c r="P2" s="329"/>
      <c r="Q2" s="329"/>
    </row>
    <row r="3" spans="2:39" ht="13" x14ac:dyDescent="0.3">
      <c r="B3" s="317" t="s">
        <v>809</v>
      </c>
      <c r="C3" s="317"/>
      <c r="D3" s="317"/>
      <c r="E3" s="317"/>
      <c r="F3" s="317"/>
      <c r="G3" s="317"/>
      <c r="H3" s="317"/>
      <c r="I3" s="317"/>
      <c r="J3" s="315"/>
      <c r="K3" s="316">
        <v>2025</v>
      </c>
      <c r="L3" s="316">
        <v>2026</v>
      </c>
      <c r="M3" s="316">
        <v>2027</v>
      </c>
      <c r="N3" s="316">
        <v>2028</v>
      </c>
      <c r="O3" s="316">
        <v>2029</v>
      </c>
      <c r="P3" s="315"/>
      <c r="Q3" s="315" t="s">
        <v>808</v>
      </c>
    </row>
    <row r="4" spans="2:39" ht="13" outlineLevel="1" x14ac:dyDescent="0.3">
      <c r="B4" s="302" t="s">
        <v>807</v>
      </c>
      <c r="C4" s="302"/>
      <c r="D4" s="302"/>
      <c r="E4" s="302"/>
      <c r="F4" s="302"/>
      <c r="G4" s="302"/>
      <c r="H4" s="302"/>
      <c r="I4" s="302"/>
      <c r="J4" s="384"/>
      <c r="K4" s="383"/>
      <c r="L4" s="326"/>
      <c r="M4" s="326"/>
      <c r="N4" s="326"/>
      <c r="O4" s="326"/>
      <c r="P4" s="326"/>
      <c r="Q4" s="326"/>
      <c r="AG4" s="332"/>
      <c r="AH4" s="332"/>
      <c r="AI4" s="332"/>
      <c r="AJ4" s="332"/>
      <c r="AK4" s="332"/>
      <c r="AL4" s="332"/>
      <c r="AM4" s="332"/>
    </row>
    <row r="5" spans="2:39" ht="15" customHeight="1" outlineLevel="1" x14ac:dyDescent="0.3">
      <c r="B5" s="367" t="str">
        <f>+assumptions!B6</f>
        <v>Team Chauffeurs / bodyguard LEON</v>
      </c>
      <c r="C5" s="367"/>
      <c r="D5" s="367"/>
      <c r="E5" s="367"/>
      <c r="F5" s="367"/>
      <c r="G5" s="367"/>
      <c r="H5" s="367"/>
      <c r="I5" s="367"/>
      <c r="J5" s="382"/>
      <c r="K5" s="359">
        <f>+assumptions!K6</f>
        <v>6</v>
      </c>
      <c r="L5" s="359">
        <f>+assumptions!L6</f>
        <v>15</v>
      </c>
      <c r="M5" s="359">
        <f>+assumptions!M6</f>
        <v>24</v>
      </c>
      <c r="N5" s="359">
        <f>+assumptions!N6</f>
        <v>32</v>
      </c>
      <c r="O5" s="359">
        <f>+assumptions!O6</f>
        <v>40</v>
      </c>
      <c r="P5" s="382"/>
      <c r="Q5" s="364" t="e">
        <f>(P5/J5)^(1/6)-1</f>
        <v>#DIV/0!</v>
      </c>
      <c r="AI5" s="365"/>
    </row>
    <row r="6" spans="2:39" ht="15" customHeight="1" outlineLevel="1" x14ac:dyDescent="0.3">
      <c r="B6" s="367" t="str">
        <f>+assumptions!B17</f>
        <v>SECURITY DRIVERS</v>
      </c>
      <c r="C6" s="367"/>
      <c r="D6" s="367"/>
      <c r="E6" s="367"/>
      <c r="F6" s="367"/>
      <c r="G6" s="367"/>
      <c r="H6" s="367"/>
      <c r="I6" s="367"/>
      <c r="J6" s="382"/>
      <c r="K6" s="359">
        <f>+assumptions!K18</f>
        <v>10</v>
      </c>
      <c r="L6" s="359">
        <f>+assumptions!L18</f>
        <v>20</v>
      </c>
      <c r="M6" s="359">
        <f>+assumptions!M18</f>
        <v>60</v>
      </c>
      <c r="N6" s="359">
        <f>+assumptions!N18</f>
        <v>180</v>
      </c>
      <c r="O6" s="359">
        <f>+assumptions!O18</f>
        <v>500</v>
      </c>
      <c r="P6" s="382"/>
      <c r="Q6" s="364"/>
      <c r="AI6" s="365"/>
    </row>
    <row r="7" spans="2:39" ht="15" customHeight="1" outlineLevel="1" x14ac:dyDescent="0.3">
      <c r="B7" s="367" t="s">
        <v>806</v>
      </c>
      <c r="C7" s="367"/>
      <c r="D7" s="367"/>
      <c r="E7" s="367"/>
      <c r="F7" s="367"/>
      <c r="G7" s="367"/>
      <c r="H7" s="367"/>
      <c r="I7" s="367"/>
      <c r="J7" s="382"/>
      <c r="K7" s="359">
        <f>+assumptions!K30+assumptions!K43+assumptions!K56+assumptions!K69</f>
        <v>5</v>
      </c>
      <c r="L7" s="359">
        <f>+assumptions!L30+assumptions!L43+assumptions!L56+assumptions!L69</f>
        <v>90</v>
      </c>
      <c r="M7" s="359">
        <f>+assumptions!M30+assumptions!M43+assumptions!M56+assumptions!M69</f>
        <v>320</v>
      </c>
      <c r="N7" s="359">
        <f>+assumptions!N30+assumptions!N43+assumptions!N56+assumptions!N69</f>
        <v>900</v>
      </c>
      <c r="O7" s="359">
        <f>+assumptions!O30+assumptions!O43+assumptions!O56+assumptions!O69</f>
        <v>2600</v>
      </c>
      <c r="P7" s="382"/>
      <c r="Q7" s="364"/>
      <c r="AI7" s="365"/>
    </row>
    <row r="8" spans="2:39" ht="13" outlineLevel="1" x14ac:dyDescent="0.3">
      <c r="B8" s="367"/>
      <c r="C8" s="367"/>
      <c r="D8" s="367"/>
      <c r="E8" s="367"/>
      <c r="F8" s="367"/>
      <c r="G8" s="367"/>
      <c r="H8" s="367"/>
      <c r="I8" s="367"/>
      <c r="J8" s="382"/>
      <c r="K8" s="359"/>
      <c r="L8" s="359"/>
      <c r="M8" s="359"/>
      <c r="N8" s="359"/>
      <c r="O8" s="359"/>
      <c r="P8" s="382"/>
      <c r="Q8" s="364"/>
      <c r="AI8" s="365"/>
    </row>
    <row r="9" spans="2:39" ht="13" outlineLevel="1" x14ac:dyDescent="0.3">
      <c r="B9" s="302" t="s">
        <v>672</v>
      </c>
      <c r="C9" s="302"/>
      <c r="D9" s="302"/>
      <c r="E9" s="302"/>
      <c r="F9" s="302"/>
      <c r="G9" s="302"/>
      <c r="H9" s="302"/>
      <c r="I9" s="302"/>
      <c r="J9" s="381"/>
      <c r="K9" s="326"/>
      <c r="L9" s="326"/>
      <c r="M9" s="326"/>
      <c r="N9" s="326"/>
      <c r="O9" s="326"/>
      <c r="P9" s="326"/>
      <c r="Q9" s="364"/>
      <c r="AI9" s="365"/>
    </row>
    <row r="10" spans="2:39" ht="13" outlineLevel="1" x14ac:dyDescent="0.3">
      <c r="B10" s="367" t="str">
        <f>+assumptions!B86</f>
        <v>GLOBAL REVENUE</v>
      </c>
      <c r="C10" s="367"/>
      <c r="D10" s="367"/>
      <c r="E10" s="367"/>
      <c r="F10" s="367"/>
      <c r="G10" s="367"/>
      <c r="H10" s="367"/>
      <c r="I10" s="367"/>
      <c r="J10" s="363"/>
      <c r="K10" s="331">
        <f>+assumptions!K86</f>
        <v>6480000</v>
      </c>
      <c r="L10" s="331">
        <f>+assumptions!L86</f>
        <v>14129099.999999998</v>
      </c>
      <c r="M10" s="331">
        <f>+assumptions!M86</f>
        <v>16954919.999999996</v>
      </c>
      <c r="N10" s="331">
        <f>+assumptions!N86</f>
        <v>22041395.999999996</v>
      </c>
      <c r="O10" s="331">
        <f>+assumptions!O86</f>
        <v>28653814.799999997</v>
      </c>
      <c r="P10" s="366"/>
      <c r="Q10" s="364">
        <f>(P10/K10)^(1/6)-1</f>
        <v>-1</v>
      </c>
    </row>
    <row r="11" spans="2:39" s="318" customFormat="1" ht="13" outlineLevel="1" x14ac:dyDescent="0.3">
      <c r="B11" s="351" t="s">
        <v>788</v>
      </c>
      <c r="C11" s="351"/>
      <c r="D11" s="351"/>
      <c r="E11" s="351"/>
      <c r="F11" s="351"/>
      <c r="G11" s="351"/>
      <c r="H11" s="351"/>
      <c r="I11" s="351"/>
      <c r="J11" s="349"/>
      <c r="K11" s="377">
        <f>K10/K$21</f>
        <v>1</v>
      </c>
      <c r="L11" s="377">
        <f>L10/L$21</f>
        <v>1</v>
      </c>
      <c r="M11" s="377">
        <f>M10/M$21</f>
        <v>1</v>
      </c>
      <c r="N11" s="377">
        <f>N10/N$21</f>
        <v>1</v>
      </c>
      <c r="O11" s="377">
        <f>O10/O$21</f>
        <v>1</v>
      </c>
      <c r="P11" s="378"/>
      <c r="Q11" s="364"/>
      <c r="AH11" s="380"/>
      <c r="AI11" s="380"/>
      <c r="AJ11" s="380"/>
      <c r="AK11" s="380"/>
      <c r="AL11" s="380"/>
      <c r="AM11" s="380"/>
    </row>
    <row r="12" spans="2:39" ht="13" hidden="1" outlineLevel="1" x14ac:dyDescent="0.3">
      <c r="B12" s="367" t="str">
        <f>+assumptions!B87</f>
        <v>SECURITY DRIVERS</v>
      </c>
      <c r="C12" s="367"/>
      <c r="D12" s="367"/>
      <c r="E12" s="367"/>
      <c r="F12" s="367"/>
      <c r="G12" s="367"/>
      <c r="H12" s="367"/>
      <c r="I12" s="367"/>
      <c r="J12" s="363"/>
      <c r="K12" s="331">
        <f>+assumptions!K87</f>
        <v>0</v>
      </c>
      <c r="L12" s="331">
        <f>+assumptions!L87</f>
        <v>0</v>
      </c>
      <c r="M12" s="331">
        <f>+assumptions!M87</f>
        <v>0</v>
      </c>
      <c r="N12" s="331">
        <f>+assumptions!N87</f>
        <v>0</v>
      </c>
      <c r="O12" s="331">
        <f>+assumptions!O87</f>
        <v>0</v>
      </c>
      <c r="P12" s="366"/>
      <c r="Q12" s="364" t="e">
        <f>(P12/K12)^(1/6)-1</f>
        <v>#DIV/0!</v>
      </c>
    </row>
    <row r="13" spans="2:39" s="318" customFormat="1" ht="13" hidden="1" outlineLevel="1" x14ac:dyDescent="0.3">
      <c r="B13" s="351" t="s">
        <v>788</v>
      </c>
      <c r="C13" s="351"/>
      <c r="D13" s="351"/>
      <c r="E13" s="351"/>
      <c r="F13" s="351"/>
      <c r="G13" s="351"/>
      <c r="H13" s="351"/>
      <c r="I13" s="351"/>
      <c r="J13" s="349"/>
      <c r="K13" s="377">
        <f>K12/K$21</f>
        <v>0</v>
      </c>
      <c r="L13" s="377">
        <f>L12/L$21</f>
        <v>0</v>
      </c>
      <c r="M13" s="377">
        <f>M12/M$21</f>
        <v>0</v>
      </c>
      <c r="N13" s="377">
        <f>N12/N$21</f>
        <v>0</v>
      </c>
      <c r="O13" s="377">
        <f>O12/O$21</f>
        <v>0</v>
      </c>
      <c r="P13" s="378"/>
      <c r="Q13" s="364"/>
      <c r="AH13" s="380"/>
      <c r="AI13" s="380"/>
      <c r="AJ13" s="380"/>
      <c r="AK13" s="380"/>
      <c r="AL13" s="380"/>
      <c r="AM13" s="380"/>
    </row>
    <row r="14" spans="2:39" ht="13" hidden="1" outlineLevel="1" x14ac:dyDescent="0.3">
      <c r="B14" s="367" t="str">
        <f>+assumptions!B88</f>
        <v>Affiliés without car</v>
      </c>
      <c r="C14" s="367"/>
      <c r="D14" s="367"/>
      <c r="E14" s="367"/>
      <c r="F14" s="367"/>
      <c r="G14" s="367"/>
      <c r="H14" s="367"/>
      <c r="I14" s="367"/>
      <c r="J14" s="379"/>
      <c r="K14" s="359">
        <f>+assumptions!K88</f>
        <v>0</v>
      </c>
      <c r="L14" s="359">
        <f>+assumptions!L88</f>
        <v>0</v>
      </c>
      <c r="M14" s="359">
        <f>+assumptions!M88</f>
        <v>0</v>
      </c>
      <c r="N14" s="359">
        <f>+assumptions!N88</f>
        <v>0</v>
      </c>
      <c r="O14" s="359">
        <f>+assumptions!O88</f>
        <v>0</v>
      </c>
      <c r="P14" s="355"/>
      <c r="Q14" s="364" t="e">
        <f>(P14/K14)^(1/6)-1</f>
        <v>#DIV/0!</v>
      </c>
      <c r="AH14" s="374"/>
      <c r="AI14" s="374"/>
      <c r="AJ14" s="374"/>
      <c r="AK14" s="374"/>
      <c r="AL14" s="374"/>
      <c r="AM14" s="374"/>
    </row>
    <row r="15" spans="2:39" ht="13" hidden="1" outlineLevel="1" x14ac:dyDescent="0.3">
      <c r="B15" s="351" t="s">
        <v>788</v>
      </c>
      <c r="C15" s="351"/>
      <c r="D15" s="351"/>
      <c r="E15" s="351"/>
      <c r="F15" s="351"/>
      <c r="G15" s="351"/>
      <c r="H15" s="351"/>
      <c r="I15" s="351"/>
      <c r="J15" s="349"/>
      <c r="K15" s="377">
        <f>K14/K21</f>
        <v>0</v>
      </c>
      <c r="L15" s="377">
        <f>L14/L21</f>
        <v>0</v>
      </c>
      <c r="M15" s="377">
        <f>M14/M21</f>
        <v>0</v>
      </c>
      <c r="N15" s="377">
        <f>N14/N21</f>
        <v>0</v>
      </c>
      <c r="O15" s="377">
        <f>O14/O21</f>
        <v>0</v>
      </c>
      <c r="P15" s="378"/>
      <c r="Q15" s="364"/>
      <c r="AH15" s="374"/>
      <c r="AI15" s="374"/>
      <c r="AJ15" s="374"/>
      <c r="AK15" s="374"/>
      <c r="AL15" s="374"/>
      <c r="AM15" s="374"/>
    </row>
    <row r="16" spans="2:39" ht="13" hidden="1" outlineLevel="1" x14ac:dyDescent="0.3">
      <c r="B16" s="367" t="s">
        <v>805</v>
      </c>
      <c r="C16" s="367"/>
      <c r="D16" s="367"/>
      <c r="E16" s="367"/>
      <c r="F16" s="367"/>
      <c r="G16" s="367"/>
      <c r="H16" s="367"/>
      <c r="I16" s="367"/>
      <c r="J16" s="379"/>
      <c r="K16" s="359"/>
      <c r="L16" s="359"/>
      <c r="M16" s="359"/>
      <c r="N16" s="359"/>
      <c r="O16" s="359"/>
      <c r="P16" s="355"/>
      <c r="Q16" s="364" t="e">
        <f>(P16/K16)^(1/6)-1</f>
        <v>#DIV/0!</v>
      </c>
      <c r="AH16" s="374"/>
      <c r="AI16" s="374"/>
      <c r="AJ16" s="374"/>
      <c r="AK16" s="374"/>
      <c r="AL16" s="374"/>
      <c r="AM16" s="374"/>
    </row>
    <row r="17" spans="2:39" ht="13" hidden="1" outlineLevel="1" x14ac:dyDescent="0.3">
      <c r="B17" s="351" t="s">
        <v>788</v>
      </c>
      <c r="C17" s="351"/>
      <c r="D17" s="351"/>
      <c r="E17" s="351"/>
      <c r="F17" s="351"/>
      <c r="G17" s="351"/>
      <c r="H17" s="351"/>
      <c r="I17" s="351"/>
      <c r="J17" s="349"/>
      <c r="K17" s="377">
        <f>K16/K21</f>
        <v>0</v>
      </c>
      <c r="L17" s="377">
        <f>L16/L21</f>
        <v>0</v>
      </c>
      <c r="M17" s="377">
        <f>M16/M21</f>
        <v>0</v>
      </c>
      <c r="N17" s="377">
        <f>N16/N21</f>
        <v>0</v>
      </c>
      <c r="O17" s="377">
        <f>O16/O21</f>
        <v>0</v>
      </c>
      <c r="P17" s="378"/>
      <c r="Q17" s="364"/>
      <c r="AH17" s="374"/>
      <c r="AI17" s="374"/>
      <c r="AJ17" s="374"/>
      <c r="AK17" s="374"/>
      <c r="AL17" s="374"/>
      <c r="AM17" s="374"/>
    </row>
    <row r="18" spans="2:39" ht="13" hidden="1" outlineLevel="1" x14ac:dyDescent="0.3">
      <c r="B18" s="367" t="s">
        <v>805</v>
      </c>
      <c r="C18" s="367"/>
      <c r="D18" s="367"/>
      <c r="E18" s="367"/>
      <c r="F18" s="367"/>
      <c r="G18" s="367"/>
      <c r="H18" s="367"/>
      <c r="I18" s="367"/>
      <c r="J18" s="379"/>
      <c r="K18" s="359"/>
      <c r="L18" s="359"/>
      <c r="M18" s="359"/>
      <c r="N18" s="359"/>
      <c r="O18" s="359"/>
      <c r="P18" s="355"/>
      <c r="Q18" s="364" t="e">
        <f>(P18/M18)^(1/6)-1</f>
        <v>#DIV/0!</v>
      </c>
      <c r="AH18" s="374"/>
      <c r="AI18" s="374"/>
      <c r="AJ18" s="374"/>
      <c r="AK18" s="374"/>
      <c r="AL18" s="374"/>
      <c r="AM18" s="374"/>
    </row>
    <row r="19" spans="2:39" ht="13" hidden="1" outlineLevel="1" x14ac:dyDescent="0.3">
      <c r="B19" s="351" t="s">
        <v>788</v>
      </c>
      <c r="C19" s="351"/>
      <c r="D19" s="351"/>
      <c r="E19" s="351"/>
      <c r="F19" s="351"/>
      <c r="G19" s="351"/>
      <c r="H19" s="351"/>
      <c r="I19" s="351"/>
      <c r="J19" s="349"/>
      <c r="K19" s="377">
        <f>K18/K21</f>
        <v>0</v>
      </c>
      <c r="L19" s="377">
        <f>L18/L21</f>
        <v>0</v>
      </c>
      <c r="M19" s="377">
        <f>M18/M21</f>
        <v>0</v>
      </c>
      <c r="N19" s="377">
        <f>N18/N21</f>
        <v>0</v>
      </c>
      <c r="O19" s="377">
        <f>O18/O21</f>
        <v>0</v>
      </c>
      <c r="P19" s="378"/>
      <c r="Q19" s="364"/>
      <c r="AH19" s="374"/>
      <c r="AI19" s="374"/>
      <c r="AJ19" s="374"/>
      <c r="AK19" s="374"/>
      <c r="AL19" s="374"/>
      <c r="AM19" s="374"/>
    </row>
    <row r="20" spans="2:39" x14ac:dyDescent="0.25">
      <c r="B20" s="329"/>
      <c r="C20" s="329"/>
      <c r="D20" s="329"/>
      <c r="E20" s="329"/>
      <c r="F20" s="329"/>
      <c r="G20" s="329"/>
      <c r="H20" s="329"/>
      <c r="I20" s="329"/>
      <c r="J20" s="327"/>
      <c r="K20" s="304"/>
      <c r="L20" s="304"/>
      <c r="M20" s="304"/>
      <c r="N20" s="304"/>
      <c r="O20" s="304"/>
      <c r="P20" s="327"/>
      <c r="Q20" s="326"/>
    </row>
    <row r="21" spans="2:39" s="332" customFormat="1" ht="13" x14ac:dyDescent="0.3">
      <c r="B21" s="338" t="s">
        <v>804</v>
      </c>
      <c r="C21" s="338"/>
      <c r="D21" s="338"/>
      <c r="E21" s="338"/>
      <c r="F21" s="338"/>
      <c r="G21" s="338"/>
      <c r="H21" s="338"/>
      <c r="I21" s="338"/>
      <c r="J21" s="370"/>
      <c r="K21" s="371">
        <f>+K10+K12+K14+K16+K18</f>
        <v>6480000</v>
      </c>
      <c r="L21" s="371">
        <f>+L10+L12+L14+L16+L18</f>
        <v>14129099.999999998</v>
      </c>
      <c r="M21" s="371">
        <f>+M10+M12+M14+M16+M18</f>
        <v>16954919.999999996</v>
      </c>
      <c r="N21" s="371">
        <f>+N10+N12+N14+N16+N18</f>
        <v>22041395.999999996</v>
      </c>
      <c r="O21" s="371">
        <f>+O10+O12+O14+O16+O18</f>
        <v>28653814.799999997</v>
      </c>
      <c r="P21" s="370"/>
      <c r="Q21" s="352">
        <f>(P21/K21)^(1/6)-1</f>
        <v>-1</v>
      </c>
      <c r="AH21" s="333"/>
      <c r="AI21" s="333"/>
      <c r="AJ21" s="333"/>
      <c r="AK21" s="333"/>
      <c r="AL21" s="333"/>
      <c r="AM21" s="333"/>
    </row>
    <row r="22" spans="2:39" ht="13" x14ac:dyDescent="0.3">
      <c r="B22" s="351" t="s">
        <v>801</v>
      </c>
      <c r="C22" s="351"/>
      <c r="D22" s="351"/>
      <c r="E22" s="351"/>
      <c r="F22" s="351"/>
      <c r="G22" s="351"/>
      <c r="H22" s="351"/>
      <c r="I22" s="351"/>
      <c r="J22" s="349"/>
      <c r="K22" s="377"/>
      <c r="L22" s="376">
        <f>L21/K21-1</f>
        <v>1.1804166666666664</v>
      </c>
      <c r="M22" s="376">
        <f>M21/L21-1</f>
        <v>0.19999999999999996</v>
      </c>
      <c r="N22" s="376">
        <f>N21/M21-1</f>
        <v>0.30000000000000004</v>
      </c>
      <c r="O22" s="376">
        <f>O21/N21-1</f>
        <v>0.30000000000000004</v>
      </c>
      <c r="P22" s="375"/>
      <c r="Q22" s="364"/>
      <c r="AH22" s="374"/>
      <c r="AI22" s="374"/>
      <c r="AJ22" s="374"/>
      <c r="AK22" s="374"/>
      <c r="AL22" s="374"/>
      <c r="AM22" s="374"/>
    </row>
    <row r="23" spans="2:39" ht="13" x14ac:dyDescent="0.3">
      <c r="B23" s="351" t="s">
        <v>803</v>
      </c>
      <c r="C23" s="351"/>
      <c r="D23" s="351"/>
      <c r="E23" s="351"/>
      <c r="F23" s="351"/>
      <c r="G23" s="351"/>
      <c r="H23" s="351"/>
      <c r="I23" s="351"/>
      <c r="J23" s="349"/>
      <c r="K23" s="359">
        <f>+assumptions!K90</f>
        <v>1080000</v>
      </c>
      <c r="L23" s="359">
        <f>+assumptions!L90</f>
        <v>2354850</v>
      </c>
      <c r="M23" s="359">
        <f>+assumptions!M90</f>
        <v>2825819.9999999981</v>
      </c>
      <c r="N23" s="359">
        <f>+assumptions!N90</f>
        <v>3673566</v>
      </c>
      <c r="O23" s="359">
        <f>+assumptions!O90</f>
        <v>4775635.799999997</v>
      </c>
      <c r="P23" s="375"/>
      <c r="Q23" s="364"/>
      <c r="AH23" s="374"/>
      <c r="AI23" s="374"/>
      <c r="AJ23" s="374"/>
      <c r="AK23" s="374"/>
      <c r="AL23" s="374"/>
      <c r="AM23" s="374"/>
    </row>
    <row r="24" spans="2:39" s="332" customFormat="1" ht="13" x14ac:dyDescent="0.3">
      <c r="B24" s="338" t="s">
        <v>802</v>
      </c>
      <c r="C24" s="338"/>
      <c r="D24" s="338"/>
      <c r="E24" s="338"/>
      <c r="F24" s="338"/>
      <c r="G24" s="338"/>
      <c r="H24" s="338"/>
      <c r="I24" s="338"/>
      <c r="J24" s="370"/>
      <c r="K24" s="371">
        <f>+assumptions!K91</f>
        <v>5400000</v>
      </c>
      <c r="L24" s="371">
        <f>+assumptions!L91</f>
        <v>11774249.999999998</v>
      </c>
      <c r="M24" s="371">
        <f>+assumptions!M91</f>
        <v>14129099.999999998</v>
      </c>
      <c r="N24" s="371">
        <f>+assumptions!N91</f>
        <v>18367829.999999996</v>
      </c>
      <c r="O24" s="371">
        <f>+assumptions!O91</f>
        <v>23878179</v>
      </c>
      <c r="P24" s="370"/>
      <c r="Q24" s="352"/>
      <c r="AH24" s="333"/>
      <c r="AI24" s="333"/>
      <c r="AJ24" s="333"/>
      <c r="AK24" s="333"/>
      <c r="AL24" s="333"/>
      <c r="AM24" s="333"/>
    </row>
    <row r="25" spans="2:39" ht="13" x14ac:dyDescent="0.3">
      <c r="B25" s="351" t="s">
        <v>801</v>
      </c>
      <c r="C25" s="351"/>
      <c r="D25" s="351"/>
      <c r="E25" s="351"/>
      <c r="F25" s="351"/>
      <c r="G25" s="351"/>
      <c r="H25" s="351"/>
      <c r="I25" s="351"/>
      <c r="J25" s="349"/>
      <c r="K25" s="377"/>
      <c r="L25" s="376">
        <f>L24/K24-1</f>
        <v>1.1804166666666664</v>
      </c>
      <c r="M25" s="376">
        <f>M24/L24-1</f>
        <v>0.19999999999999996</v>
      </c>
      <c r="N25" s="376">
        <f>N24/M24-1</f>
        <v>0.29999999999999982</v>
      </c>
      <c r="O25" s="376">
        <f>O24/N24-1</f>
        <v>0.30000000000000027</v>
      </c>
      <c r="P25" s="375"/>
      <c r="Q25" s="364"/>
      <c r="AH25" s="374"/>
      <c r="AI25" s="374"/>
      <c r="AJ25" s="374"/>
      <c r="AK25" s="374"/>
      <c r="AL25" s="374"/>
      <c r="AM25" s="374"/>
    </row>
    <row r="26" spans="2:39" ht="13" x14ac:dyDescent="0.3">
      <c r="B26" s="351"/>
      <c r="C26" s="351"/>
      <c r="D26" s="351"/>
      <c r="E26" s="351"/>
      <c r="F26" s="351"/>
      <c r="G26" s="351"/>
      <c r="H26" s="351"/>
      <c r="I26" s="351"/>
      <c r="J26" s="349"/>
      <c r="K26" s="377"/>
      <c r="L26" s="376"/>
      <c r="M26" s="376"/>
      <c r="N26" s="376"/>
      <c r="O26" s="376"/>
      <c r="P26" s="375"/>
      <c r="Q26" s="364"/>
      <c r="AH26" s="374"/>
      <c r="AI26" s="374"/>
      <c r="AJ26" s="374"/>
      <c r="AK26" s="374"/>
      <c r="AL26" s="374"/>
      <c r="AM26" s="374"/>
    </row>
    <row r="27" spans="2:39" ht="14.5" customHeight="1" x14ac:dyDescent="0.3">
      <c r="B27" s="338" t="s">
        <v>800</v>
      </c>
      <c r="C27" s="330"/>
      <c r="D27" s="330"/>
      <c r="E27" s="330"/>
      <c r="F27" s="330"/>
      <c r="G27" s="330"/>
      <c r="H27" s="330"/>
      <c r="I27" s="330"/>
      <c r="J27" s="366"/>
      <c r="K27" s="331"/>
      <c r="L27" s="331"/>
      <c r="M27" s="331"/>
      <c r="N27" s="331"/>
      <c r="O27" s="331"/>
      <c r="P27" s="366"/>
      <c r="Q27" s="364"/>
      <c r="AH27" s="365"/>
      <c r="AI27" s="365"/>
      <c r="AJ27" s="365"/>
      <c r="AK27" s="365"/>
      <c r="AL27" s="365"/>
      <c r="AM27" s="365"/>
    </row>
    <row r="28" spans="2:39" ht="14.5" customHeight="1" x14ac:dyDescent="0.3">
      <c r="B28" s="367" t="str">
        <f>+assumptions!B95</f>
        <v>Cost of all Affiliates (With/Without car)</v>
      </c>
      <c r="C28" s="367"/>
      <c r="D28" s="367"/>
      <c r="E28" s="367"/>
      <c r="F28" s="367"/>
      <c r="G28" s="367"/>
      <c r="H28" s="367"/>
      <c r="I28" s="367"/>
      <c r="J28" s="366"/>
      <c r="K28" s="331">
        <f>+assumptions!K95</f>
        <v>1853856</v>
      </c>
      <c r="L28" s="331">
        <f>+assumptions!L95</f>
        <v>3882816</v>
      </c>
      <c r="M28" s="331">
        <f>+assumptions!M95</f>
        <v>4659379.2</v>
      </c>
      <c r="N28" s="331">
        <f>+assumptions!N95</f>
        <v>6057192.9600000009</v>
      </c>
      <c r="O28" s="331">
        <f>+assumptions!O95</f>
        <v>7874350.8480000012</v>
      </c>
      <c r="P28" s="366"/>
      <c r="Q28" s="364">
        <f>(P28/K28)^(1/6)-1</f>
        <v>-1</v>
      </c>
      <c r="AH28" s="365"/>
      <c r="AI28" s="365"/>
      <c r="AJ28" s="365"/>
      <c r="AK28" s="365"/>
      <c r="AL28" s="365"/>
      <c r="AM28" s="365"/>
    </row>
    <row r="29" spans="2:39" ht="14.5" customHeight="1" x14ac:dyDescent="0.3">
      <c r="B29" s="373" t="str">
        <f>+assumptions!B96</f>
        <v>VAT at credit</v>
      </c>
      <c r="C29" s="367"/>
      <c r="D29" s="367"/>
      <c r="E29" s="367"/>
      <c r="F29" s="367"/>
      <c r="G29" s="367"/>
      <c r="H29" s="367"/>
      <c r="I29" s="367"/>
      <c r="J29" s="366"/>
      <c r="K29" s="331">
        <f>+assumptions!K96</f>
        <v>308976</v>
      </c>
      <c r="L29" s="331">
        <f>+assumptions!L96</f>
        <v>647136</v>
      </c>
      <c r="M29" s="331">
        <f>+assumptions!M96</f>
        <v>776563.19999999972</v>
      </c>
      <c r="N29" s="331">
        <f>+assumptions!N96</f>
        <v>1009532.1600000001</v>
      </c>
      <c r="O29" s="331">
        <f>+assumptions!O96</f>
        <v>1312391.8080000002</v>
      </c>
      <c r="P29" s="366"/>
      <c r="Q29" s="364"/>
      <c r="AH29" s="365"/>
      <c r="AI29" s="365"/>
      <c r="AJ29" s="365"/>
      <c r="AK29" s="365"/>
      <c r="AL29" s="365"/>
      <c r="AM29" s="365"/>
    </row>
    <row r="30" spans="2:39" ht="14.5" customHeight="1" x14ac:dyDescent="0.3">
      <c r="B30" s="373" t="str">
        <f>+assumptions!B97</f>
        <v>Cost of all Affiliates (With/Without car) (w/t VAT)</v>
      </c>
      <c r="C30" s="367"/>
      <c r="D30" s="367"/>
      <c r="E30" s="367"/>
      <c r="F30" s="367"/>
      <c r="G30" s="367"/>
      <c r="H30" s="367"/>
      <c r="I30" s="367"/>
      <c r="J30" s="366"/>
      <c r="K30" s="331">
        <f>+assumptions!K97</f>
        <v>1544880</v>
      </c>
      <c r="L30" s="331">
        <f>+assumptions!L97</f>
        <v>3235680</v>
      </c>
      <c r="M30" s="331">
        <f>+assumptions!M97</f>
        <v>3882816.0000000005</v>
      </c>
      <c r="N30" s="331">
        <f>+assumptions!N97</f>
        <v>5047660.8000000007</v>
      </c>
      <c r="O30" s="331">
        <f>+assumptions!O97</f>
        <v>6561959.040000001</v>
      </c>
      <c r="P30" s="366"/>
      <c r="Q30" s="364"/>
      <c r="AH30" s="365"/>
      <c r="AI30" s="365"/>
      <c r="AJ30" s="365"/>
      <c r="AK30" s="365"/>
      <c r="AL30" s="365"/>
      <c r="AM30" s="365"/>
    </row>
    <row r="31" spans="2:39" ht="14.5" customHeight="1" x14ac:dyDescent="0.3">
      <c r="B31" s="367" t="str">
        <f>+assumptions!B102</f>
        <v>Total Salaires</v>
      </c>
      <c r="C31" s="367"/>
      <c r="D31" s="367"/>
      <c r="E31" s="367"/>
      <c r="F31" s="367"/>
      <c r="G31" s="367"/>
      <c r="H31" s="367"/>
      <c r="I31" s="367"/>
      <c r="J31" s="366"/>
      <c r="K31" s="331">
        <f>+assumptions!K102</f>
        <v>767000</v>
      </c>
      <c r="L31" s="331">
        <f>+assumptions!L102</f>
        <v>860000</v>
      </c>
      <c r="M31" s="331">
        <f>+assumptions!M102</f>
        <v>1052000</v>
      </c>
      <c r="N31" s="331">
        <f>+assumptions!N102</f>
        <v>1052000</v>
      </c>
      <c r="O31" s="331">
        <f>+assumptions!O102</f>
        <v>1052007</v>
      </c>
      <c r="P31" s="366"/>
      <c r="Q31" s="364">
        <f>(P31/K31)^(1/6)-1</f>
        <v>-1</v>
      </c>
      <c r="AH31" s="365"/>
      <c r="AI31" s="365"/>
      <c r="AJ31" s="365"/>
      <c r="AK31" s="365"/>
      <c r="AL31" s="365"/>
      <c r="AM31" s="365"/>
    </row>
    <row r="32" spans="2:39" s="332" customFormat="1" ht="13" x14ac:dyDescent="0.3">
      <c r="B32" s="338" t="str">
        <f>+assumptions!B103</f>
        <v>Total Salaries and Affialites</v>
      </c>
      <c r="C32" s="338"/>
      <c r="D32" s="338"/>
      <c r="E32" s="338"/>
      <c r="F32" s="338"/>
      <c r="G32" s="338"/>
      <c r="H32" s="338"/>
      <c r="I32" s="338"/>
      <c r="J32" s="370"/>
      <c r="K32" s="371">
        <f>+assumptions!K103</f>
        <v>2311880</v>
      </c>
      <c r="L32" s="371">
        <f>+assumptions!L103</f>
        <v>4095680</v>
      </c>
      <c r="M32" s="371">
        <f>+assumptions!M103</f>
        <v>4934816</v>
      </c>
      <c r="N32" s="371">
        <f>+assumptions!N103</f>
        <v>6099660.8000000007</v>
      </c>
      <c r="O32" s="371">
        <f>+assumptions!O103</f>
        <v>7613966.040000001</v>
      </c>
      <c r="P32" s="370"/>
      <c r="Q32" s="352"/>
      <c r="AH32" s="333"/>
      <c r="AI32" s="333"/>
      <c r="AJ32" s="333"/>
      <c r="AK32" s="333"/>
      <c r="AL32" s="333"/>
      <c r="AM32" s="333"/>
    </row>
    <row r="33" spans="2:39" ht="14.5" customHeight="1" x14ac:dyDescent="0.3">
      <c r="B33" s="367" t="str">
        <f>+assumptions!B121</f>
        <v>Total Renting Cost</v>
      </c>
      <c r="C33" s="367"/>
      <c r="D33" s="367"/>
      <c r="E33" s="367"/>
      <c r="F33" s="367"/>
      <c r="G33" s="367"/>
      <c r="H33" s="367"/>
      <c r="I33" s="367"/>
      <c r="J33" s="366"/>
      <c r="K33" s="331">
        <f>+assumptions!K121</f>
        <v>967200</v>
      </c>
      <c r="L33" s="331">
        <f>+assumptions!L121</f>
        <v>806000</v>
      </c>
      <c r="M33" s="331">
        <f>+assumptions!M121</f>
        <v>967200</v>
      </c>
      <c r="N33" s="331">
        <f>+assumptions!N121</f>
        <v>1257360</v>
      </c>
      <c r="O33" s="331">
        <f>+assumptions!O121</f>
        <v>1634568</v>
      </c>
      <c r="P33" s="366"/>
      <c r="Q33" s="364"/>
      <c r="AH33" s="365"/>
      <c r="AI33" s="365"/>
      <c r="AJ33" s="365"/>
      <c r="AK33" s="365"/>
      <c r="AL33" s="365"/>
      <c r="AM33" s="365"/>
    </row>
    <row r="34" spans="2:39" ht="14.5" customHeight="1" x14ac:dyDescent="0.3">
      <c r="B34" s="367" t="str">
        <f>+assumptions!B129</f>
        <v>Total Cost for Insurance</v>
      </c>
      <c r="C34" s="367"/>
      <c r="D34" s="367"/>
      <c r="E34" s="367"/>
      <c r="F34" s="367"/>
      <c r="G34" s="367"/>
      <c r="H34" s="367"/>
      <c r="I34" s="367"/>
      <c r="J34" s="366"/>
      <c r="K34" s="331">
        <f>+assumptions!K129</f>
        <v>130400</v>
      </c>
      <c r="L34" s="331">
        <f>+assumptions!L129</f>
        <v>276640</v>
      </c>
      <c r="M34" s="331">
        <f>+assumptions!M129</f>
        <v>290000</v>
      </c>
      <c r="N34" s="331">
        <f>+assumptions!N129</f>
        <v>310000</v>
      </c>
      <c r="O34" s="331">
        <f>+assumptions!O129</f>
        <v>310001</v>
      </c>
      <c r="P34" s="366"/>
      <c r="Q34" s="364"/>
      <c r="AH34" s="365"/>
      <c r="AI34" s="365"/>
      <c r="AJ34" s="365"/>
      <c r="AK34" s="365"/>
      <c r="AL34" s="365"/>
      <c r="AM34" s="365"/>
    </row>
    <row r="35" spans="2:39" ht="14.5" customHeight="1" x14ac:dyDescent="0.3">
      <c r="B35" s="367" t="str">
        <f>+assumptions!B138</f>
        <v>Total Cost for gasoline</v>
      </c>
      <c r="C35" s="367"/>
      <c r="D35" s="367"/>
      <c r="E35" s="367"/>
      <c r="F35" s="367"/>
      <c r="G35" s="367"/>
      <c r="H35" s="367"/>
      <c r="I35" s="367"/>
      <c r="J35" s="366"/>
      <c r="K35" s="331">
        <f>+assumptions!K138</f>
        <v>0</v>
      </c>
      <c r="L35" s="331">
        <f>+assumptions!L138</f>
        <v>0</v>
      </c>
      <c r="M35" s="331">
        <f>+assumptions!M138</f>
        <v>0</v>
      </c>
      <c r="N35" s="331">
        <f>+assumptions!N138</f>
        <v>0</v>
      </c>
      <c r="O35" s="331">
        <f>+assumptions!O138</f>
        <v>0</v>
      </c>
      <c r="P35" s="366"/>
      <c r="Q35" s="364"/>
      <c r="AH35" s="365"/>
      <c r="AI35" s="365"/>
      <c r="AJ35" s="365"/>
      <c r="AK35" s="365"/>
      <c r="AL35" s="365"/>
      <c r="AM35" s="365"/>
    </row>
    <row r="36" spans="2:39" s="332" customFormat="1" ht="13" x14ac:dyDescent="0.3">
      <c r="B36" s="338" t="str">
        <f>+assumptions!B139</f>
        <v>Total running cost of Fleet</v>
      </c>
      <c r="C36" s="338"/>
      <c r="D36" s="338"/>
      <c r="E36" s="338"/>
      <c r="F36" s="338"/>
      <c r="G36" s="338"/>
      <c r="H36" s="338"/>
      <c r="I36" s="338"/>
      <c r="J36" s="370"/>
      <c r="K36" s="371">
        <f>+assumptions!K139</f>
        <v>1097600</v>
      </c>
      <c r="L36" s="371">
        <f>+assumptions!L139</f>
        <v>1082640</v>
      </c>
      <c r="M36" s="371">
        <f>+assumptions!M139</f>
        <v>1257200</v>
      </c>
      <c r="N36" s="371">
        <f>+assumptions!N139</f>
        <v>1567360</v>
      </c>
      <c r="O36" s="371">
        <f>+assumptions!O139</f>
        <v>1944569</v>
      </c>
      <c r="P36" s="370"/>
      <c r="Q36" s="352">
        <f>(P36/K36)^(1/6)-1</f>
        <v>-1</v>
      </c>
      <c r="AH36" s="333"/>
      <c r="AI36" s="333"/>
      <c r="AJ36" s="333"/>
      <c r="AK36" s="333"/>
      <c r="AL36" s="333"/>
      <c r="AM36" s="333"/>
    </row>
    <row r="37" spans="2:39" s="332" customFormat="1" ht="13" x14ac:dyDescent="0.3">
      <c r="B37" s="338" t="str">
        <f>+assumptions!B141</f>
        <v>Gross margin</v>
      </c>
      <c r="C37" s="338"/>
      <c r="D37" s="338"/>
      <c r="E37" s="338"/>
      <c r="F37" s="338"/>
      <c r="G37" s="338"/>
      <c r="H37" s="338"/>
      <c r="I37" s="338"/>
      <c r="J37" s="354"/>
      <c r="K37" s="312">
        <f>+assumptions!K141</f>
        <v>1990520</v>
      </c>
      <c r="L37" s="312">
        <f>+assumptions!L141</f>
        <v>6595929.9999999981</v>
      </c>
      <c r="M37" s="372">
        <f>+assumptions!M141</f>
        <v>7937083.9999999981</v>
      </c>
      <c r="N37" s="312">
        <f>+assumptions!N141</f>
        <v>10700809.199999996</v>
      </c>
      <c r="O37" s="312">
        <f>+assumptions!O141</f>
        <v>14319643.959999999</v>
      </c>
      <c r="P37" s="337"/>
      <c r="Q37" s="352">
        <f>(P37/K37)^(1/6)-1</f>
        <v>-1</v>
      </c>
      <c r="AH37" s="333"/>
      <c r="AI37" s="333"/>
      <c r="AJ37" s="333"/>
      <c r="AK37" s="333"/>
      <c r="AL37" s="333"/>
      <c r="AM37" s="333"/>
    </row>
    <row r="38" spans="2:39" ht="13" x14ac:dyDescent="0.3">
      <c r="B38" s="351" t="s">
        <v>788</v>
      </c>
      <c r="C38" s="351"/>
      <c r="D38" s="351"/>
      <c r="E38" s="351"/>
      <c r="F38" s="351"/>
      <c r="G38" s="351"/>
      <c r="H38" s="351"/>
      <c r="I38" s="351"/>
      <c r="J38" s="349"/>
      <c r="K38" s="350">
        <f>K37/K$24</f>
        <v>0.36861481481481484</v>
      </c>
      <c r="L38" s="350">
        <f>L37/L$24</f>
        <v>0.5601995880841667</v>
      </c>
      <c r="M38" s="350">
        <f>M37/M$24</f>
        <v>0.56175439341500866</v>
      </c>
      <c r="N38" s="350">
        <f>N37/N$24</f>
        <v>0.58258429003317203</v>
      </c>
      <c r="O38" s="350">
        <f>O37/O$24</f>
        <v>0.59969581264969996</v>
      </c>
      <c r="P38" s="349"/>
      <c r="Q38" s="364"/>
    </row>
    <row r="39" spans="2:39" ht="14.5" customHeight="1" x14ac:dyDescent="0.3">
      <c r="B39" s="367" t="str">
        <f>+assumptions!B145</f>
        <v>Marketing expenses</v>
      </c>
      <c r="C39" s="367"/>
      <c r="D39" s="367"/>
      <c r="E39" s="367"/>
      <c r="F39" s="367"/>
      <c r="G39" s="367"/>
      <c r="H39" s="367"/>
      <c r="I39" s="367"/>
      <c r="J39" s="366"/>
      <c r="K39" s="331">
        <f>+assumptions!K145</f>
        <v>180000</v>
      </c>
      <c r="L39" s="331">
        <f>+assumptions!L145</f>
        <v>70000</v>
      </c>
      <c r="M39" s="331">
        <f>+assumptions!M145</f>
        <v>70000</v>
      </c>
      <c r="N39" s="331">
        <f>+assumptions!N145</f>
        <v>70000</v>
      </c>
      <c r="O39" s="331">
        <f>+assumptions!O145</f>
        <v>70001</v>
      </c>
      <c r="P39" s="366"/>
      <c r="Q39" s="364"/>
      <c r="AH39" s="365"/>
      <c r="AI39" s="365"/>
      <c r="AJ39" s="365"/>
      <c r="AK39" s="365"/>
      <c r="AL39" s="365"/>
      <c r="AM39" s="365"/>
    </row>
    <row r="40" spans="2:39" ht="14.5" customHeight="1" x14ac:dyDescent="0.3">
      <c r="B40" s="367" t="str">
        <f>+assumptions!B146</f>
        <v>Management costs</v>
      </c>
      <c r="C40" s="367"/>
      <c r="D40" s="367"/>
      <c r="E40" s="367"/>
      <c r="F40" s="367"/>
      <c r="G40" s="367"/>
      <c r="H40" s="367"/>
      <c r="I40" s="367"/>
      <c r="J40" s="366"/>
      <c r="K40" s="331">
        <f>+assumptions!K146</f>
        <v>442000</v>
      </c>
      <c r="L40" s="331">
        <f>+assumptions!L146</f>
        <v>450000</v>
      </c>
      <c r="M40" s="331">
        <f>+assumptions!M146</f>
        <v>473000</v>
      </c>
      <c r="N40" s="331">
        <f>+assumptions!N146</f>
        <v>496000</v>
      </c>
      <c r="O40" s="331">
        <f>+assumptions!O146</f>
        <v>496008</v>
      </c>
      <c r="P40" s="366"/>
      <c r="Q40" s="364"/>
      <c r="AH40" s="365"/>
      <c r="AI40" s="365"/>
      <c r="AJ40" s="365"/>
      <c r="AK40" s="365"/>
      <c r="AL40" s="365"/>
      <c r="AM40" s="365"/>
    </row>
    <row r="41" spans="2:39" ht="14.5" customHeight="1" x14ac:dyDescent="0.3">
      <c r="B41" s="367" t="str">
        <f>+assumptions!B147</f>
        <v>Office rent</v>
      </c>
      <c r="C41" s="367"/>
      <c r="D41" s="367"/>
      <c r="E41" s="367"/>
      <c r="F41" s="367"/>
      <c r="G41" s="367"/>
      <c r="H41" s="367"/>
      <c r="I41" s="367"/>
      <c r="J41" s="366"/>
      <c r="K41" s="331">
        <f>+assumptions!K147</f>
        <v>240000</v>
      </c>
      <c r="L41" s="331">
        <f>+assumptions!L147</f>
        <v>270000</v>
      </c>
      <c r="M41" s="331">
        <f>+assumptions!M147</f>
        <v>283500</v>
      </c>
      <c r="N41" s="331">
        <f>+assumptions!N147</f>
        <v>290500</v>
      </c>
      <c r="O41" s="331">
        <f>+assumptions!O147</f>
        <v>301526</v>
      </c>
      <c r="P41" s="366"/>
      <c r="Q41" s="364"/>
      <c r="AH41" s="365"/>
      <c r="AI41" s="365"/>
      <c r="AJ41" s="365"/>
      <c r="AK41" s="365"/>
      <c r="AL41" s="365"/>
      <c r="AM41" s="365"/>
    </row>
    <row r="42" spans="2:39" ht="14.5" customHeight="1" x14ac:dyDescent="0.3">
      <c r="B42" s="367" t="str">
        <f>+assumptions!B148</f>
        <v>Other operational charges</v>
      </c>
      <c r="C42" s="367"/>
      <c r="D42" s="367"/>
      <c r="E42" s="367"/>
      <c r="F42" s="367"/>
      <c r="G42" s="367"/>
      <c r="H42" s="367"/>
      <c r="I42" s="367"/>
      <c r="J42" s="366"/>
      <c r="K42" s="331">
        <f>+assumptions!K148</f>
        <v>1165100</v>
      </c>
      <c r="L42" s="331">
        <f>+assumptions!L148</f>
        <v>1293000</v>
      </c>
      <c r="M42" s="331">
        <f>+assumptions!M148</f>
        <v>1335000</v>
      </c>
      <c r="N42" s="331">
        <f>+assumptions!N148</f>
        <v>1493600</v>
      </c>
      <c r="O42" s="331">
        <f>+assumptions!O148</f>
        <v>1662100</v>
      </c>
      <c r="P42" s="366"/>
      <c r="Q42" s="364"/>
      <c r="AH42" s="365"/>
      <c r="AI42" s="365"/>
      <c r="AJ42" s="365"/>
      <c r="AK42" s="365"/>
      <c r="AL42" s="365"/>
      <c r="AM42" s="365"/>
    </row>
    <row r="43" spans="2:39" s="332" customFormat="1" ht="14.5" customHeight="1" x14ac:dyDescent="0.3">
      <c r="B43" s="302" t="s">
        <v>799</v>
      </c>
      <c r="C43" s="302"/>
      <c r="D43" s="302"/>
      <c r="E43" s="302"/>
      <c r="F43" s="302"/>
      <c r="G43" s="302"/>
      <c r="H43" s="302"/>
      <c r="I43" s="302"/>
      <c r="J43" s="354"/>
      <c r="K43" s="371">
        <f>+K32+K36+K42+K41+K40</f>
        <v>5256580</v>
      </c>
      <c r="L43" s="371">
        <f>+L32+L36+L42+L41+L40+L39</f>
        <v>7261320</v>
      </c>
      <c r="M43" s="371">
        <f>+M32+M36+M42+M41+M40+M39</f>
        <v>8353516</v>
      </c>
      <c r="N43" s="371">
        <f>+N32+N36+N42+N41+N40+N39</f>
        <v>10017120.800000001</v>
      </c>
      <c r="O43" s="371">
        <f>+O32+O36+O42+O41+O40+O39</f>
        <v>12088170.040000001</v>
      </c>
      <c r="P43" s="370"/>
      <c r="Q43" s="352">
        <f>(P43/K43)^(1/6)-1</f>
        <v>-1</v>
      </c>
    </row>
    <row r="44" spans="2:39" ht="13" x14ac:dyDescent="0.3">
      <c r="B44" s="351" t="s">
        <v>788</v>
      </c>
      <c r="C44" s="351"/>
      <c r="D44" s="351"/>
      <c r="E44" s="351"/>
      <c r="F44" s="351"/>
      <c r="G44" s="351"/>
      <c r="H44" s="351"/>
      <c r="I44" s="351"/>
      <c r="J44" s="349"/>
      <c r="K44" s="350">
        <f>K43/K$21</f>
        <v>0.81120061728395065</v>
      </c>
      <c r="L44" s="350">
        <f>L43/L$21</f>
        <v>0.51392657706435663</v>
      </c>
      <c r="M44" s="350">
        <f>M43/M$21</f>
        <v>0.49268979151774245</v>
      </c>
      <c r="N44" s="350">
        <f>N43/N$21</f>
        <v>0.45446852821844869</v>
      </c>
      <c r="O44" s="350">
        <f>O43/O$21</f>
        <v>0.42186948315168149</v>
      </c>
      <c r="P44" s="349"/>
      <c r="Q44" s="364"/>
    </row>
    <row r="45" spans="2:39" ht="12" customHeight="1" x14ac:dyDescent="0.3">
      <c r="B45" s="351"/>
      <c r="C45" s="351"/>
      <c r="D45" s="351"/>
      <c r="E45" s="351"/>
      <c r="F45" s="351"/>
      <c r="G45" s="351"/>
      <c r="H45" s="351"/>
      <c r="I45" s="351"/>
      <c r="J45" s="349"/>
      <c r="K45" s="369">
        <f>+K24-K43-K46</f>
        <v>180000</v>
      </c>
      <c r="L45" s="369">
        <f>+L24-L43-L46</f>
        <v>0</v>
      </c>
      <c r="M45" s="369">
        <f>+M24-M43-M46</f>
        <v>0</v>
      </c>
      <c r="N45" s="369">
        <f>+N24-N43-N46</f>
        <v>0</v>
      </c>
      <c r="O45" s="369">
        <f>+O24-O43-O46</f>
        <v>0</v>
      </c>
      <c r="P45" s="368"/>
      <c r="Q45" s="364"/>
    </row>
    <row r="46" spans="2:39" s="332" customFormat="1" ht="13" x14ac:dyDescent="0.3">
      <c r="B46" s="338" t="str">
        <f>+assumptions!B150</f>
        <v>EBITDA</v>
      </c>
      <c r="C46" s="338"/>
      <c r="D46" s="338"/>
      <c r="E46" s="338"/>
      <c r="F46" s="338"/>
      <c r="G46" s="338"/>
      <c r="H46" s="338"/>
      <c r="I46" s="338"/>
      <c r="J46" s="354"/>
      <c r="K46" s="312">
        <f>+assumptions!K150</f>
        <v>-36580</v>
      </c>
      <c r="L46" s="312">
        <f>+assumptions!L150</f>
        <v>4512929.9999999981</v>
      </c>
      <c r="M46" s="312">
        <f>+assumptions!M150</f>
        <v>5775583.9999999981</v>
      </c>
      <c r="N46" s="312">
        <f>+assumptions!N150</f>
        <v>8350709.1999999955</v>
      </c>
      <c r="O46" s="312">
        <f>+assumptions!O150</f>
        <v>11790008.959999999</v>
      </c>
      <c r="P46" s="337"/>
      <c r="Q46" s="352">
        <f>(P46/K46)^(1/6)-1</f>
        <v>-1</v>
      </c>
      <c r="AH46" s="333"/>
      <c r="AI46" s="333"/>
      <c r="AJ46" s="333"/>
      <c r="AK46" s="333"/>
      <c r="AL46" s="333"/>
      <c r="AM46" s="333"/>
    </row>
    <row r="47" spans="2:39" ht="13" x14ac:dyDescent="0.3">
      <c r="B47" s="351" t="s">
        <v>788</v>
      </c>
      <c r="C47" s="351"/>
      <c r="D47" s="351"/>
      <c r="E47" s="351"/>
      <c r="F47" s="351"/>
      <c r="G47" s="351"/>
      <c r="H47" s="351"/>
      <c r="I47" s="351"/>
      <c r="J47" s="349"/>
      <c r="K47" s="350">
        <f>K46/K$21</f>
        <v>-5.645061728395062E-3</v>
      </c>
      <c r="L47" s="350">
        <f>L46/L$21</f>
        <v>0.31940675626897669</v>
      </c>
      <c r="M47" s="350">
        <f>M46/M$21</f>
        <v>0.34064354181559098</v>
      </c>
      <c r="N47" s="350">
        <f>N46/N$21</f>
        <v>0.37886480511488457</v>
      </c>
      <c r="O47" s="350">
        <f>O46/O$21</f>
        <v>0.41146385018165194</v>
      </c>
      <c r="P47" s="349"/>
      <c r="Q47" s="364"/>
    </row>
    <row r="48" spans="2:39" ht="13" x14ac:dyDescent="0.3">
      <c r="B48" s="367" t="s">
        <v>798</v>
      </c>
      <c r="C48" s="367"/>
      <c r="D48" s="367"/>
      <c r="E48" s="367"/>
      <c r="F48" s="367"/>
      <c r="G48" s="367"/>
      <c r="H48" s="367"/>
      <c r="I48" s="367"/>
      <c r="J48" s="363"/>
      <c r="K48" s="331">
        <f>-assumptions!K152</f>
        <v>31600</v>
      </c>
      <c r="L48" s="331">
        <f>-assumptions!L152</f>
        <v>58500</v>
      </c>
      <c r="M48" s="331">
        <f>-assumptions!M152</f>
        <v>87900</v>
      </c>
      <c r="N48" s="331">
        <f>-assumptions!N152</f>
        <v>123966.66666666666</v>
      </c>
      <c r="O48" s="331">
        <f>-assumptions!O152</f>
        <v>159200</v>
      </c>
      <c r="P48" s="366"/>
      <c r="Q48" s="364"/>
      <c r="AH48" s="365"/>
      <c r="AI48" s="365"/>
      <c r="AJ48" s="365"/>
      <c r="AK48" s="365"/>
      <c r="AL48" s="365"/>
      <c r="AM48" s="365"/>
    </row>
    <row r="49" spans="2:39" s="332" customFormat="1" ht="13" x14ac:dyDescent="0.3">
      <c r="B49" s="338" t="s">
        <v>629</v>
      </c>
      <c r="C49" s="338"/>
      <c r="D49" s="338"/>
      <c r="E49" s="338"/>
      <c r="F49" s="338"/>
      <c r="G49" s="338"/>
      <c r="H49" s="338"/>
      <c r="I49" s="338"/>
      <c r="J49" s="354"/>
      <c r="K49" s="312">
        <f>K46-K48</f>
        <v>-68180</v>
      </c>
      <c r="L49" s="312">
        <f>L46-L48</f>
        <v>4454429.9999999981</v>
      </c>
      <c r="M49" s="312">
        <f>M46-M48</f>
        <v>5687683.9999999981</v>
      </c>
      <c r="N49" s="312">
        <f>N46-N48</f>
        <v>8226742.5333333286</v>
      </c>
      <c r="O49" s="312">
        <f>O46-O48</f>
        <v>11630808.959999999</v>
      </c>
      <c r="P49" s="337"/>
      <c r="Q49" s="352">
        <f>(P49/K49)^(1/6)-1</f>
        <v>-1</v>
      </c>
      <c r="AH49" s="333"/>
      <c r="AI49" s="333"/>
      <c r="AJ49" s="333"/>
      <c r="AK49" s="333"/>
      <c r="AL49" s="333"/>
      <c r="AM49" s="333"/>
    </row>
    <row r="50" spans="2:39" ht="13" x14ac:dyDescent="0.3">
      <c r="B50" s="351" t="s">
        <v>788</v>
      </c>
      <c r="C50" s="351"/>
      <c r="D50" s="351"/>
      <c r="E50" s="351"/>
      <c r="F50" s="351"/>
      <c r="G50" s="351"/>
      <c r="H50" s="351"/>
      <c r="I50" s="351"/>
      <c r="J50" s="349"/>
      <c r="K50" s="350">
        <f>K49/K$21</f>
        <v>-1.0521604938271605E-2</v>
      </c>
      <c r="L50" s="350">
        <f>L49/L$21</f>
        <v>0.31526636516126283</v>
      </c>
      <c r="M50" s="350">
        <f>M49/M$21</f>
        <v>0.33545920594140222</v>
      </c>
      <c r="N50" s="350">
        <f>N49/N$21</f>
        <v>0.37324053945282459</v>
      </c>
      <c r="O50" s="350">
        <f>O49/O$21</f>
        <v>0.40590787094778041</v>
      </c>
      <c r="P50" s="349"/>
      <c r="Q50" s="364"/>
    </row>
    <row r="51" spans="2:39" x14ac:dyDescent="0.25">
      <c r="B51" s="252" t="s">
        <v>797</v>
      </c>
      <c r="C51" s="252"/>
      <c r="D51" s="252"/>
      <c r="E51" s="252"/>
      <c r="F51" s="252"/>
      <c r="G51" s="252"/>
      <c r="H51" s="252"/>
      <c r="I51" s="358">
        <v>0.05</v>
      </c>
      <c r="J51" s="363"/>
      <c r="K51" s="340">
        <f>((K72+J72)/2)*$I$51</f>
        <v>0</v>
      </c>
      <c r="L51" s="340">
        <f>((L72+K72)/2)*$I$51</f>
        <v>0</v>
      </c>
      <c r="M51" s="340">
        <f>((M72+L72)/2)*$I$51</f>
        <v>0</v>
      </c>
      <c r="N51" s="340">
        <f>((N72+M72)/2)*$I$51</f>
        <v>0</v>
      </c>
      <c r="O51" s="340">
        <f>((O72+N72)/2)*$I$51</f>
        <v>0</v>
      </c>
      <c r="P51" s="363"/>
    </row>
    <row r="52" spans="2:39" s="332" customFormat="1" ht="13" x14ac:dyDescent="0.3">
      <c r="B52" s="338" t="s">
        <v>796</v>
      </c>
      <c r="C52" s="338"/>
      <c r="D52" s="338"/>
      <c r="E52" s="338"/>
      <c r="F52" s="338"/>
      <c r="G52" s="338"/>
      <c r="H52" s="338"/>
      <c r="I52" s="362"/>
      <c r="J52" s="354"/>
      <c r="K52" s="312">
        <f>+K49-K51</f>
        <v>-68180</v>
      </c>
      <c r="L52" s="312">
        <f>+L49-L51</f>
        <v>4454429.9999999981</v>
      </c>
      <c r="M52" s="312">
        <f>+M49-M51</f>
        <v>5687683.9999999981</v>
      </c>
      <c r="N52" s="312">
        <f>+N49-N51</f>
        <v>8226742.5333333286</v>
      </c>
      <c r="O52" s="312">
        <f>+O49-O51</f>
        <v>11630808.959999999</v>
      </c>
      <c r="P52" s="337"/>
      <c r="Q52" s="352">
        <f>(P52/K52)^(1/6)-1</f>
        <v>-1</v>
      </c>
      <c r="AH52" s="333"/>
      <c r="AI52" s="333"/>
      <c r="AJ52" s="333"/>
      <c r="AK52" s="333"/>
      <c r="AL52" s="333"/>
      <c r="AM52" s="333"/>
    </row>
    <row r="53" spans="2:39" s="347" customFormat="1" ht="13" hidden="1" outlineLevel="1" x14ac:dyDescent="0.3">
      <c r="B53" s="319" t="s">
        <v>795</v>
      </c>
      <c r="C53" s="319"/>
      <c r="D53" s="319"/>
      <c r="E53" s="319"/>
      <c r="F53" s="319"/>
      <c r="G53" s="319"/>
      <c r="H53" s="319"/>
      <c r="I53" s="361"/>
      <c r="J53" s="355"/>
      <c r="K53" s="359">
        <f>IF(K52&lt;0,K52,0)</f>
        <v>-68180</v>
      </c>
      <c r="L53" s="359">
        <f>IF(L52&lt;0,L52,0)</f>
        <v>0</v>
      </c>
      <c r="M53" s="359">
        <f>IF(M52&lt;0,M52,0)</f>
        <v>0</v>
      </c>
      <c r="N53" s="359">
        <f>IF(N52&lt;0,N52,0)</f>
        <v>0</v>
      </c>
      <c r="O53" s="359">
        <f>IF(O52&lt;0,O52,0)</f>
        <v>0</v>
      </c>
      <c r="P53" s="355"/>
      <c r="Q53" s="348"/>
    </row>
    <row r="54" spans="2:39" s="347" customFormat="1" ht="13" hidden="1" outlineLevel="1" x14ac:dyDescent="0.3">
      <c r="B54" s="319" t="s">
        <v>794</v>
      </c>
      <c r="C54" s="319"/>
      <c r="D54" s="319"/>
      <c r="E54" s="319"/>
      <c r="F54" s="319"/>
      <c r="G54" s="319"/>
      <c r="H54" s="319"/>
      <c r="I54" s="361"/>
      <c r="J54" s="355"/>
      <c r="K54" s="359"/>
      <c r="L54" s="359">
        <f>K53+L53</f>
        <v>-68180</v>
      </c>
      <c r="M54" s="359">
        <f>+L53+L54+M53</f>
        <v>-68180</v>
      </c>
      <c r="N54" s="359">
        <f>+M53+M54+N53</f>
        <v>-68180</v>
      </c>
      <c r="O54" s="359">
        <f>+N53+N54+O53</f>
        <v>-68180</v>
      </c>
      <c r="P54" s="355"/>
      <c r="Q54" s="348"/>
    </row>
    <row r="55" spans="2:39" s="347" customFormat="1" ht="13" hidden="1" outlineLevel="1" x14ac:dyDescent="0.3">
      <c r="B55" s="319" t="s">
        <v>792</v>
      </c>
      <c r="C55" s="319"/>
      <c r="D55" s="319"/>
      <c r="E55" s="319"/>
      <c r="F55" s="319"/>
      <c r="G55" s="319"/>
      <c r="H55" s="319"/>
      <c r="I55" s="361"/>
      <c r="J55" s="355"/>
      <c r="K55" s="359"/>
      <c r="L55" s="357">
        <f>L52+L54</f>
        <v>4386249.9999999981</v>
      </c>
      <c r="M55" s="357">
        <f>M52+M54</f>
        <v>5619503.9999999981</v>
      </c>
      <c r="N55" s="357">
        <f>N52+N54</f>
        <v>8158562.5333333286</v>
      </c>
      <c r="O55" s="357">
        <f>O52+O54</f>
        <v>11562628.959999999</v>
      </c>
      <c r="P55" s="356"/>
      <c r="Q55" s="348"/>
    </row>
    <row r="56" spans="2:39" s="347" customFormat="1" ht="13" hidden="1" outlineLevel="1" x14ac:dyDescent="0.3">
      <c r="B56" s="319" t="s">
        <v>793</v>
      </c>
      <c r="C56" s="319"/>
      <c r="D56" s="319"/>
      <c r="E56" s="319"/>
      <c r="F56" s="319"/>
      <c r="G56" s="319"/>
      <c r="H56" s="319"/>
      <c r="I56" s="358">
        <v>0.35</v>
      </c>
      <c r="K56" s="359">
        <f>$I$56*K55</f>
        <v>0</v>
      </c>
      <c r="L56" s="359">
        <f>+IF(L55&lt;0,0,L55*$I$56)</f>
        <v>1535187.4999999993</v>
      </c>
      <c r="M56" s="359">
        <f>+IF(M55&lt;0,0,M55*$I$56)</f>
        <v>1966826.3999999992</v>
      </c>
      <c r="N56" s="359">
        <f>+IF(N55&lt;0,0,N55*$I$56)</f>
        <v>2855496.8866666649</v>
      </c>
      <c r="O56" s="359">
        <f>+IF(O55&lt;0,0,O55*$I$56)</f>
        <v>4046920.1359999995</v>
      </c>
      <c r="P56" s="355"/>
      <c r="Q56" s="348"/>
    </row>
    <row r="57" spans="2:39" s="347" customFormat="1" ht="13" hidden="1" outlineLevel="1" x14ac:dyDescent="0.3">
      <c r="B57" s="319" t="s">
        <v>792</v>
      </c>
      <c r="C57" s="319"/>
      <c r="D57" s="319"/>
      <c r="E57" s="319"/>
      <c r="F57" s="319"/>
      <c r="G57" s="319"/>
      <c r="H57" s="319"/>
      <c r="I57" s="360"/>
      <c r="K57" s="359">
        <f>K52+'[2]BP Spirulina'!H417</f>
        <v>-67872.600000000006</v>
      </c>
      <c r="L57" s="359">
        <f>L52+'[2]BP Spirulina'!I417</f>
        <v>4455169.4999999981</v>
      </c>
      <c r="M57" s="359">
        <f>M52+'[2]BP Spirulina'!J417</f>
        <v>5688665.0971999979</v>
      </c>
      <c r="N57" s="359">
        <f>N52+'[2]BP Spirulina'!K417</f>
        <v>8228151.8175573284</v>
      </c>
      <c r="O57" s="359">
        <f>O52+'[2]BP Spirulina'!L417</f>
        <v>11632622.033868</v>
      </c>
      <c r="P57" s="355"/>
      <c r="Q57" s="348"/>
    </row>
    <row r="58" spans="2:39" s="347" customFormat="1" ht="13" hidden="1" outlineLevel="1" x14ac:dyDescent="0.3">
      <c r="B58" s="319" t="s">
        <v>791</v>
      </c>
      <c r="C58" s="319"/>
      <c r="D58" s="319"/>
      <c r="E58" s="319"/>
      <c r="F58" s="319"/>
      <c r="G58" s="319"/>
      <c r="H58" s="319"/>
      <c r="I58" s="358">
        <v>0</v>
      </c>
      <c r="K58" s="357">
        <f>K57*$I$58</f>
        <v>0</v>
      </c>
      <c r="L58" s="357">
        <f>L57*$I$58</f>
        <v>0</v>
      </c>
      <c r="M58" s="357">
        <f>M57*$I$58</f>
        <v>0</v>
      </c>
      <c r="N58" s="357">
        <f>N57*$I$58</f>
        <v>0</v>
      </c>
      <c r="O58" s="357">
        <f>O57*$I$58</f>
        <v>0</v>
      </c>
      <c r="P58" s="356"/>
      <c r="Q58" s="348"/>
    </row>
    <row r="59" spans="2:39" s="347" customFormat="1" ht="13" collapsed="1" x14ac:dyDescent="0.3">
      <c r="B59" s="351" t="s">
        <v>790</v>
      </c>
      <c r="C59" s="351"/>
      <c r="D59" s="351"/>
      <c r="E59" s="351"/>
      <c r="F59" s="319"/>
      <c r="G59" s="319"/>
      <c r="H59" s="319"/>
      <c r="I59" s="319"/>
      <c r="J59" s="349"/>
      <c r="K59" s="350">
        <f>-K60/K52</f>
        <v>0</v>
      </c>
      <c r="L59" s="350">
        <f>-L60/L52</f>
        <v>0.34464286115170739</v>
      </c>
      <c r="M59" s="350">
        <f>-M60/M52</f>
        <v>0.34580444342547861</v>
      </c>
      <c r="N59" s="350">
        <f>-N60/N52</f>
        <v>0.34709933793317205</v>
      </c>
      <c r="O59" s="350">
        <f>-O60/O52</f>
        <v>0.34794829404540401</v>
      </c>
      <c r="P59" s="349"/>
      <c r="Q59" s="348"/>
    </row>
    <row r="60" spans="2:39" ht="13" x14ac:dyDescent="0.3">
      <c r="B60" s="252" t="s">
        <v>772</v>
      </c>
      <c r="C60" s="252"/>
      <c r="D60" s="252"/>
      <c r="E60" s="252"/>
      <c r="F60" s="252"/>
      <c r="G60" s="252"/>
      <c r="H60" s="252"/>
      <c r="I60" s="252"/>
      <c r="J60" s="349"/>
      <c r="K60" s="304">
        <f>-(K58+K56)</f>
        <v>0</v>
      </c>
      <c r="L60" s="304">
        <f>-(L58+L56)</f>
        <v>-1535187.4999999993</v>
      </c>
      <c r="M60" s="304">
        <f>-(M58+M56)</f>
        <v>-1966826.3999999992</v>
      </c>
      <c r="N60" s="304">
        <f>-(N58+N56)</f>
        <v>-2855496.8866666649</v>
      </c>
      <c r="O60" s="304">
        <f>-(O58+O56)</f>
        <v>-4046920.1359999995</v>
      </c>
      <c r="P60" s="303"/>
      <c r="Q60" s="355"/>
    </row>
    <row r="61" spans="2:39" s="332" customFormat="1" ht="13" x14ac:dyDescent="0.3">
      <c r="B61" s="338" t="s">
        <v>789</v>
      </c>
      <c r="C61" s="338"/>
      <c r="D61" s="338"/>
      <c r="E61" s="338"/>
      <c r="F61" s="338"/>
      <c r="G61" s="338"/>
      <c r="H61" s="338"/>
      <c r="I61" s="338"/>
      <c r="J61" s="354"/>
      <c r="K61" s="312">
        <f>+K52+K60</f>
        <v>-68180</v>
      </c>
      <c r="L61" s="353">
        <f>+L52+L60</f>
        <v>2919242.4999999991</v>
      </c>
      <c r="M61" s="324">
        <f>+M52+M60</f>
        <v>3720857.5999999987</v>
      </c>
      <c r="N61" s="324">
        <f>+N52+N60</f>
        <v>5371245.6466666637</v>
      </c>
      <c r="O61" s="324">
        <f>+O52+O60</f>
        <v>7583888.8239999991</v>
      </c>
      <c r="P61" s="323"/>
      <c r="Q61" s="352">
        <f>(P61/K61)^(1/6)-1</f>
        <v>-1</v>
      </c>
      <c r="AH61" s="333"/>
      <c r="AI61" s="333"/>
      <c r="AJ61" s="333"/>
      <c r="AK61" s="333"/>
      <c r="AL61" s="333"/>
      <c r="AM61" s="333"/>
    </row>
    <row r="62" spans="2:39" s="347" customFormat="1" ht="13" collapsed="1" x14ac:dyDescent="0.3">
      <c r="B62" s="351" t="s">
        <v>788</v>
      </c>
      <c r="C62" s="351"/>
      <c r="D62" s="351"/>
      <c r="E62" s="351"/>
      <c r="F62" s="319"/>
      <c r="G62" s="319"/>
      <c r="H62" s="319"/>
      <c r="I62" s="319"/>
      <c r="J62" s="349"/>
      <c r="K62" s="350"/>
      <c r="L62" s="350">
        <f>IF(L61&gt;0,L61/L21,0)</f>
        <v>0.20661206304718627</v>
      </c>
      <c r="M62" s="350">
        <f>IF(M61&gt;0,M61/M21,0)</f>
        <v>0.21945592193888261</v>
      </c>
      <c r="N62" s="350">
        <f>IF(N61&gt;0,N61/N21,0)</f>
        <v>0.24368899531892918</v>
      </c>
      <c r="O62" s="350">
        <f>IF(O61&gt;0,O61/O21,0)</f>
        <v>0.26467291971189816</v>
      </c>
      <c r="P62" s="349"/>
      <c r="Q62" s="348"/>
    </row>
    <row r="64" spans="2:39" ht="13" x14ac:dyDescent="0.3">
      <c r="B64" s="317" t="s">
        <v>787</v>
      </c>
      <c r="C64" s="317"/>
      <c r="D64" s="317"/>
      <c r="E64" s="317"/>
      <c r="F64" s="317"/>
      <c r="G64" s="317"/>
      <c r="H64" s="317"/>
      <c r="I64" s="317"/>
      <c r="J64" s="315"/>
      <c r="K64" s="316">
        <f>K3</f>
        <v>2025</v>
      </c>
      <c r="L64" s="316">
        <f>L3</f>
        <v>2026</v>
      </c>
      <c r="M64" s="316">
        <f>M3</f>
        <v>2027</v>
      </c>
      <c r="N64" s="316">
        <f>N3</f>
        <v>2028</v>
      </c>
      <c r="O64" s="316">
        <f>O3</f>
        <v>2029</v>
      </c>
      <c r="P64" s="315"/>
      <c r="Q64" s="341"/>
    </row>
    <row r="65" spans="2:17" x14ac:dyDescent="0.25">
      <c r="B65" s="252" t="s">
        <v>786</v>
      </c>
      <c r="C65" s="252"/>
      <c r="D65" s="252"/>
      <c r="E65" s="252"/>
      <c r="F65" s="252"/>
      <c r="G65" s="252"/>
      <c r="H65" s="252"/>
      <c r="I65" s="252"/>
      <c r="J65" s="327"/>
      <c r="K65" s="304">
        <f>J65-K48-K82</f>
        <v>-31600</v>
      </c>
      <c r="L65" s="304">
        <f>K65-L48-L82</f>
        <v>19400</v>
      </c>
      <c r="M65" s="304">
        <f>L65-M48-M82</f>
        <v>63500</v>
      </c>
      <c r="N65" s="304">
        <f>M65-N48-N82</f>
        <v>91533.333333333343</v>
      </c>
      <c r="O65" s="304">
        <f>N65-O48-O82</f>
        <v>104333.33333333334</v>
      </c>
      <c r="P65" s="303"/>
    </row>
    <row r="66" spans="2:17" x14ac:dyDescent="0.25">
      <c r="B66" s="252" t="s">
        <v>785</v>
      </c>
      <c r="C66" s="252"/>
      <c r="D66" s="252"/>
      <c r="E66" s="252"/>
      <c r="F66" s="252"/>
      <c r="G66" s="252"/>
      <c r="H66" s="252"/>
      <c r="I66" s="252"/>
      <c r="J66" s="303"/>
      <c r="K66" s="304">
        <f>K108</f>
        <v>177534.24657534249</v>
      </c>
      <c r="L66" s="304">
        <f>L108</f>
        <v>387098.63013698626</v>
      </c>
      <c r="M66" s="304">
        <f>M108</f>
        <v>464518.35616438347</v>
      </c>
      <c r="N66" s="304">
        <f>N108</f>
        <v>603873.86301369849</v>
      </c>
      <c r="O66" s="304">
        <f>O108</f>
        <v>785036.0219178081</v>
      </c>
      <c r="P66" s="303"/>
    </row>
    <row r="67" spans="2:17" x14ac:dyDescent="0.25">
      <c r="B67" s="252" t="s">
        <v>784</v>
      </c>
      <c r="C67" s="252"/>
      <c r="D67" s="252"/>
      <c r="E67" s="252"/>
      <c r="F67" s="252"/>
      <c r="G67" s="252"/>
      <c r="H67" s="252"/>
      <c r="I67" s="252"/>
      <c r="J67" s="303">
        <f t="shared" ref="J67:O67" si="0">J94</f>
        <v>10000</v>
      </c>
      <c r="K67" s="304">
        <f t="shared" si="0"/>
        <v>179421.42465753423</v>
      </c>
      <c r="L67" s="304">
        <f t="shared" si="0"/>
        <v>4467323.9246575329</v>
      </c>
      <c r="M67" s="304">
        <f t="shared" si="0"/>
        <v>8138523.2890410936</v>
      </c>
      <c r="N67" s="304">
        <f t="shared" si="0"/>
        <v>13465817.24401826</v>
      </c>
      <c r="O67" s="304">
        <f t="shared" si="0"/>
        <v>21008680.010374423</v>
      </c>
      <c r="P67" s="303"/>
    </row>
    <row r="68" spans="2:17" s="332" customFormat="1" ht="13" x14ac:dyDescent="0.3">
      <c r="B68" s="302" t="s">
        <v>783</v>
      </c>
      <c r="C68" s="302"/>
      <c r="D68" s="302"/>
      <c r="E68" s="302"/>
      <c r="F68" s="302"/>
      <c r="G68" s="302"/>
      <c r="H68" s="302"/>
      <c r="I68" s="302"/>
      <c r="J68" s="335">
        <f t="shared" ref="J68:O68" si="1">SUM(J65:J67)</f>
        <v>10000</v>
      </c>
      <c r="K68" s="336">
        <f t="shared" si="1"/>
        <v>325355.67123287672</v>
      </c>
      <c r="L68" s="336">
        <f t="shared" si="1"/>
        <v>4873822.5547945192</v>
      </c>
      <c r="M68" s="336">
        <f t="shared" si="1"/>
        <v>8666541.6452054773</v>
      </c>
      <c r="N68" s="336">
        <f t="shared" si="1"/>
        <v>14161224.440365292</v>
      </c>
      <c r="O68" s="336">
        <f t="shared" si="1"/>
        <v>21898049.365625564</v>
      </c>
      <c r="P68" s="335"/>
      <c r="Q68" s="344"/>
    </row>
    <row r="69" spans="2:17" x14ac:dyDescent="0.25">
      <c r="B69" s="252"/>
      <c r="C69" s="252"/>
      <c r="D69" s="252"/>
      <c r="E69" s="252"/>
      <c r="F69" s="252"/>
      <c r="G69" s="252"/>
      <c r="H69" s="252"/>
      <c r="I69" s="252"/>
      <c r="K69" s="304"/>
      <c r="L69" s="304"/>
      <c r="M69" s="304"/>
      <c r="N69" s="304"/>
      <c r="O69" s="304"/>
      <c r="P69" s="303"/>
    </row>
    <row r="70" spans="2:17" x14ac:dyDescent="0.25">
      <c r="B70" s="252" t="s">
        <v>782</v>
      </c>
      <c r="C70" s="252"/>
      <c r="D70" s="252"/>
      <c r="E70" s="252"/>
      <c r="F70" s="252"/>
      <c r="G70" s="252"/>
      <c r="H70" s="252"/>
      <c r="I70" s="252"/>
      <c r="J70" s="339"/>
      <c r="K70" s="304">
        <f>K109</f>
        <v>383535.67123287672</v>
      </c>
      <c r="L70" s="304">
        <f>L109</f>
        <v>512760.05479452055</v>
      </c>
      <c r="M70" s="304">
        <f>M109</f>
        <v>584621.54520547925</v>
      </c>
      <c r="N70" s="304">
        <f>N109</f>
        <v>708058.6936986302</v>
      </c>
      <c r="O70" s="304">
        <f>O109</f>
        <v>860994.79495890392</v>
      </c>
      <c r="P70" s="303"/>
    </row>
    <row r="71" spans="2:17" x14ac:dyDescent="0.25">
      <c r="B71" s="252" t="s">
        <v>781</v>
      </c>
      <c r="C71" s="252"/>
      <c r="D71" s="252"/>
      <c r="E71" s="252"/>
      <c r="F71" s="252"/>
      <c r="G71" s="252"/>
      <c r="H71" s="252"/>
      <c r="I71" s="252"/>
      <c r="J71" s="303"/>
      <c r="K71" s="304">
        <v>0</v>
      </c>
      <c r="L71" s="304">
        <v>0</v>
      </c>
      <c r="M71" s="304">
        <v>0</v>
      </c>
      <c r="N71" s="304">
        <v>0</v>
      </c>
      <c r="O71" s="304">
        <v>0</v>
      </c>
      <c r="P71" s="303"/>
    </row>
    <row r="72" spans="2:17" x14ac:dyDescent="0.25">
      <c r="B72" s="252" t="s">
        <v>770</v>
      </c>
      <c r="C72" s="252"/>
      <c r="D72" s="252"/>
      <c r="E72" s="252"/>
      <c r="F72" s="252"/>
      <c r="G72" s="252"/>
      <c r="H72" s="252"/>
      <c r="I72" s="252"/>
      <c r="J72" s="303">
        <f>J89+J88</f>
        <v>0</v>
      </c>
      <c r="K72" s="304">
        <f>J72+K89+K88</f>
        <v>0</v>
      </c>
      <c r="L72" s="304">
        <f>K72+L89+L88+L87</f>
        <v>0</v>
      </c>
      <c r="M72" s="304">
        <f>L72+M89+M88</f>
        <v>0</v>
      </c>
      <c r="N72" s="304">
        <f>M72+N89+N88</f>
        <v>0</v>
      </c>
      <c r="O72" s="304">
        <f>N72+O89+O88</f>
        <v>0</v>
      </c>
      <c r="P72" s="303"/>
      <c r="Q72" s="346"/>
    </row>
    <row r="73" spans="2:17" x14ac:dyDescent="0.25">
      <c r="B73" s="252" t="s">
        <v>780</v>
      </c>
      <c r="C73" s="252"/>
      <c r="D73" s="252"/>
      <c r="E73" s="252"/>
      <c r="F73" s="252"/>
      <c r="G73" s="252"/>
      <c r="H73" s="252"/>
      <c r="I73" s="252"/>
      <c r="J73" s="303">
        <f>J90</f>
        <v>10000</v>
      </c>
      <c r="K73" s="345">
        <f>J73+K90-K91</f>
        <v>10000</v>
      </c>
      <c r="L73" s="345">
        <f>K73+L90-L91</f>
        <v>1510000</v>
      </c>
      <c r="M73" s="345">
        <f>L73+M90-M91</f>
        <v>1510000</v>
      </c>
      <c r="N73" s="345">
        <f>M73+N90-N91</f>
        <v>1510000</v>
      </c>
      <c r="O73" s="345">
        <f>N73+O90-O91</f>
        <v>1510000</v>
      </c>
      <c r="P73" s="345"/>
    </row>
    <row r="74" spans="2:17" x14ac:dyDescent="0.25">
      <c r="B74" s="252" t="s">
        <v>779</v>
      </c>
      <c r="C74" s="252"/>
      <c r="D74" s="252"/>
      <c r="E74" s="252"/>
      <c r="F74" s="252"/>
      <c r="G74" s="252"/>
      <c r="H74" s="252"/>
      <c r="I74" s="252"/>
      <c r="J74" s="345"/>
      <c r="K74" s="304"/>
      <c r="L74" s="304">
        <f>K75+K74</f>
        <v>-68180</v>
      </c>
      <c r="M74" s="304">
        <f>L75+L74</f>
        <v>2851062.4999999991</v>
      </c>
      <c r="N74" s="304">
        <f>M75+M74</f>
        <v>6571920.0999999978</v>
      </c>
      <c r="O74" s="304">
        <f>N75+N74</f>
        <v>11943165.746666662</v>
      </c>
      <c r="P74" s="303"/>
    </row>
    <row r="75" spans="2:17" x14ac:dyDescent="0.25">
      <c r="B75" s="252" t="s">
        <v>778</v>
      </c>
      <c r="C75" s="252"/>
      <c r="D75" s="252"/>
      <c r="E75" s="252"/>
      <c r="F75" s="252"/>
      <c r="G75" s="252"/>
      <c r="H75" s="252"/>
      <c r="I75" s="252"/>
      <c r="J75" s="303"/>
      <c r="K75" s="304">
        <f>K61</f>
        <v>-68180</v>
      </c>
      <c r="L75" s="304">
        <f>L61</f>
        <v>2919242.4999999991</v>
      </c>
      <c r="M75" s="304">
        <f>M61</f>
        <v>3720857.5999999987</v>
      </c>
      <c r="N75" s="304">
        <f>N61</f>
        <v>5371245.6466666637</v>
      </c>
      <c r="O75" s="304">
        <f>O61</f>
        <v>7583888.8239999991</v>
      </c>
      <c r="P75" s="303"/>
    </row>
    <row r="76" spans="2:17" s="332" customFormat="1" ht="13" x14ac:dyDescent="0.3">
      <c r="B76" s="302" t="s">
        <v>777</v>
      </c>
      <c r="C76" s="302"/>
      <c r="D76" s="302"/>
      <c r="E76" s="302"/>
      <c r="F76" s="302"/>
      <c r="G76" s="302"/>
      <c r="H76" s="302"/>
      <c r="I76" s="302"/>
      <c r="J76" s="335">
        <f t="shared" ref="J76:O76" si="2">+J75+J73+J74</f>
        <v>10000</v>
      </c>
      <c r="K76" s="336">
        <f t="shared" si="2"/>
        <v>-58180</v>
      </c>
      <c r="L76" s="336">
        <f t="shared" si="2"/>
        <v>4361062.4999999991</v>
      </c>
      <c r="M76" s="336">
        <f t="shared" si="2"/>
        <v>8081920.0999999978</v>
      </c>
      <c r="N76" s="336">
        <f t="shared" si="2"/>
        <v>13453165.746666662</v>
      </c>
      <c r="O76" s="336">
        <f t="shared" si="2"/>
        <v>21037054.570666663</v>
      </c>
      <c r="P76" s="335"/>
      <c r="Q76" s="344"/>
    </row>
    <row r="77" spans="2:17" ht="13" x14ac:dyDescent="0.3">
      <c r="B77" s="343" t="s">
        <v>776</v>
      </c>
      <c r="C77" s="343"/>
      <c r="D77" s="343"/>
      <c r="E77" s="343"/>
      <c r="F77" s="343"/>
      <c r="G77" s="343"/>
      <c r="H77" s="343"/>
      <c r="I77" s="343"/>
      <c r="J77" s="303">
        <f t="shared" ref="J77:O77" si="3">+J76+J72+J71+J70</f>
        <v>10000</v>
      </c>
      <c r="K77" s="304">
        <f t="shared" si="3"/>
        <v>325355.67123287672</v>
      </c>
      <c r="L77" s="304">
        <f t="shared" si="3"/>
        <v>4873822.5547945192</v>
      </c>
      <c r="M77" s="304">
        <f t="shared" si="3"/>
        <v>8666541.6452054773</v>
      </c>
      <c r="N77" s="304">
        <f t="shared" si="3"/>
        <v>14161224.440365292</v>
      </c>
      <c r="O77" s="304">
        <f t="shared" si="3"/>
        <v>21898049.365625568</v>
      </c>
      <c r="P77" s="303"/>
    </row>
    <row r="78" spans="2:17" ht="15" hidden="1" customHeight="1" outlineLevel="1" x14ac:dyDescent="0.3">
      <c r="B78" s="319" t="s">
        <v>565</v>
      </c>
      <c r="C78" s="319"/>
      <c r="D78" s="319"/>
      <c r="E78" s="319"/>
      <c r="F78" s="319"/>
      <c r="G78" s="319"/>
      <c r="H78" s="319"/>
      <c r="I78" s="302"/>
      <c r="J78" s="303"/>
      <c r="K78" s="304">
        <f>+K77-K68</f>
        <v>0</v>
      </c>
      <c r="L78" s="304">
        <f>+L77-L68</f>
        <v>0</v>
      </c>
      <c r="M78" s="304">
        <f>+M77-M68</f>
        <v>0</v>
      </c>
      <c r="N78" s="304">
        <f>+N77-N68</f>
        <v>0</v>
      </c>
      <c r="O78" s="304">
        <f>+O77-O68</f>
        <v>0</v>
      </c>
      <c r="P78" s="303"/>
    </row>
    <row r="79" spans="2:17" ht="15" customHeight="1" collapsed="1" x14ac:dyDescent="0.3">
      <c r="B79" s="319"/>
      <c r="C79" s="319"/>
      <c r="D79" s="319"/>
      <c r="E79" s="319"/>
      <c r="F79" s="319"/>
      <c r="G79" s="319"/>
      <c r="H79" s="319"/>
      <c r="I79" s="302"/>
      <c r="J79" s="303"/>
      <c r="K79" s="304"/>
      <c r="L79" s="304"/>
      <c r="M79" s="304"/>
      <c r="N79" s="304"/>
      <c r="O79" s="304"/>
      <c r="P79" s="303"/>
    </row>
    <row r="80" spans="2:17" ht="13" x14ac:dyDescent="0.3">
      <c r="B80" s="317" t="s">
        <v>775</v>
      </c>
      <c r="C80" s="317"/>
      <c r="D80" s="317"/>
      <c r="E80" s="317"/>
      <c r="F80" s="317"/>
      <c r="G80" s="317"/>
      <c r="H80" s="317"/>
      <c r="I80" s="317"/>
      <c r="J80" s="341"/>
      <c r="K80" s="342"/>
      <c r="L80" s="342"/>
      <c r="M80" s="342"/>
      <c r="N80" s="342"/>
      <c r="O80" s="342"/>
      <c r="P80" s="341"/>
      <c r="Q80" s="341"/>
    </row>
    <row r="81" spans="2:39" x14ac:dyDescent="0.25">
      <c r="B81" s="252" t="s">
        <v>774</v>
      </c>
      <c r="C81" s="252"/>
      <c r="D81" s="252"/>
      <c r="E81" s="252"/>
      <c r="F81" s="252"/>
      <c r="G81" s="252"/>
      <c r="H81" s="252"/>
      <c r="I81" s="252"/>
      <c r="J81" s="340"/>
      <c r="K81" s="304">
        <f>K46</f>
        <v>-36580</v>
      </c>
      <c r="L81" s="304">
        <f>L46</f>
        <v>4512929.9999999981</v>
      </c>
      <c r="M81" s="304">
        <f>M46</f>
        <v>5775583.9999999981</v>
      </c>
      <c r="N81" s="304">
        <f>N46</f>
        <v>8350709.1999999955</v>
      </c>
      <c r="O81" s="304">
        <f>O46</f>
        <v>11790008.959999999</v>
      </c>
      <c r="P81" s="303"/>
    </row>
    <row r="82" spans="2:39" x14ac:dyDescent="0.25">
      <c r="B82" s="252" t="s">
        <v>624</v>
      </c>
      <c r="C82" s="252"/>
      <c r="D82" s="252"/>
      <c r="E82" s="252"/>
      <c r="F82" s="252"/>
      <c r="G82" s="252"/>
      <c r="H82" s="252"/>
      <c r="I82" s="252"/>
      <c r="J82" s="327"/>
      <c r="K82" s="304"/>
      <c r="L82" s="304">
        <f>-assumptions!L177</f>
        <v>-109500</v>
      </c>
      <c r="M82" s="304">
        <f>-assumptions!M177</f>
        <v>-132000</v>
      </c>
      <c r="N82" s="304">
        <f>-assumptions!N177</f>
        <v>-152000</v>
      </c>
      <c r="O82" s="304">
        <f>-assumptions!O177</f>
        <v>-172000</v>
      </c>
      <c r="P82" s="303"/>
      <c r="Q82" s="326"/>
    </row>
    <row r="83" spans="2:39" x14ac:dyDescent="0.25">
      <c r="B83" s="252" t="s">
        <v>773</v>
      </c>
      <c r="C83" s="252"/>
      <c r="D83" s="252"/>
      <c r="E83" s="252"/>
      <c r="F83" s="252"/>
      <c r="G83" s="252"/>
      <c r="H83" s="252"/>
      <c r="I83" s="252"/>
      <c r="J83" s="339"/>
      <c r="K83" s="304">
        <f>K110</f>
        <v>206001.42465753423</v>
      </c>
      <c r="L83" s="304">
        <f>L110-K110</f>
        <v>-80339.999999999942</v>
      </c>
      <c r="M83" s="304">
        <f>M110-L110</f>
        <v>-5558.2356164384983</v>
      </c>
      <c r="N83" s="304">
        <f>N110-M110</f>
        <v>-15918.35835616407</v>
      </c>
      <c r="O83" s="304">
        <f>O110-N110</f>
        <v>-28226.057643835898</v>
      </c>
      <c r="P83" s="303"/>
      <c r="Q83" s="326"/>
    </row>
    <row r="84" spans="2:39" s="332" customFormat="1" ht="13" x14ac:dyDescent="0.3">
      <c r="B84" s="338" t="s">
        <v>752</v>
      </c>
      <c r="C84" s="338"/>
      <c r="D84" s="338"/>
      <c r="E84" s="338"/>
      <c r="F84" s="338"/>
      <c r="G84" s="338"/>
      <c r="H84" s="338"/>
      <c r="I84" s="338"/>
      <c r="J84" s="337"/>
      <c r="K84" s="336">
        <f>+K83+K82+K81</f>
        <v>169421.42465753423</v>
      </c>
      <c r="L84" s="336">
        <f>+L83+L82+L81</f>
        <v>4323089.9999999981</v>
      </c>
      <c r="M84" s="336">
        <f>+M83+M82+M81</f>
        <v>5638025.76438356</v>
      </c>
      <c r="N84" s="336">
        <f>+N83+N82+N81</f>
        <v>8182790.8416438317</v>
      </c>
      <c r="O84" s="336">
        <f>+O83+O82+O81</f>
        <v>11589782.902356163</v>
      </c>
      <c r="P84" s="335"/>
      <c r="Q84" s="334"/>
      <c r="AH84" s="333"/>
      <c r="AI84" s="333"/>
      <c r="AJ84" s="333"/>
      <c r="AK84" s="333"/>
      <c r="AL84" s="333"/>
      <c r="AM84" s="333"/>
    </row>
    <row r="85" spans="2:39" x14ac:dyDescent="0.25">
      <c r="B85" s="252" t="s">
        <v>772</v>
      </c>
      <c r="C85" s="252"/>
      <c r="D85" s="252"/>
      <c r="E85" s="252"/>
      <c r="F85" s="252"/>
      <c r="G85" s="252"/>
      <c r="H85" s="252"/>
      <c r="I85" s="252"/>
      <c r="J85" s="303"/>
      <c r="K85" s="304">
        <f>K60</f>
        <v>0</v>
      </c>
      <c r="L85" s="304">
        <f>L60</f>
        <v>-1535187.4999999993</v>
      </c>
      <c r="M85" s="304">
        <f>M60</f>
        <v>-1966826.3999999992</v>
      </c>
      <c r="N85" s="304">
        <f>N60</f>
        <v>-2855496.8866666649</v>
      </c>
      <c r="O85" s="304">
        <f>O60</f>
        <v>-4046920.1359999995</v>
      </c>
      <c r="P85" s="303"/>
      <c r="Q85" s="331"/>
    </row>
    <row r="86" spans="2:39" x14ac:dyDescent="0.25">
      <c r="B86" s="252" t="s">
        <v>771</v>
      </c>
      <c r="C86" s="252"/>
      <c r="D86" s="252"/>
      <c r="E86" s="252"/>
      <c r="F86" s="252"/>
      <c r="G86" s="252"/>
      <c r="H86" s="252"/>
      <c r="I86" s="252"/>
      <c r="J86" s="303">
        <f t="shared" ref="J86:O86" si="4">-J51</f>
        <v>0</v>
      </c>
      <c r="K86" s="304">
        <f t="shared" si="4"/>
        <v>0</v>
      </c>
      <c r="L86" s="304">
        <f t="shared" si="4"/>
        <v>0</v>
      </c>
      <c r="M86" s="304">
        <f t="shared" si="4"/>
        <v>0</v>
      </c>
      <c r="N86" s="304">
        <f t="shared" si="4"/>
        <v>0</v>
      </c>
      <c r="O86" s="304">
        <f t="shared" si="4"/>
        <v>0</v>
      </c>
      <c r="P86" s="303"/>
      <c r="Q86" s="326"/>
    </row>
    <row r="87" spans="2:39" x14ac:dyDescent="0.25">
      <c r="B87" s="252" t="s">
        <v>770</v>
      </c>
      <c r="C87" s="252"/>
      <c r="D87" s="252"/>
      <c r="E87" s="252"/>
      <c r="F87" s="252"/>
      <c r="G87" s="252"/>
      <c r="H87" s="252"/>
      <c r="I87" s="252"/>
      <c r="J87" s="303"/>
      <c r="K87" s="304"/>
      <c r="L87" s="304"/>
      <c r="M87" s="304"/>
      <c r="N87" s="304"/>
      <c r="O87" s="304"/>
      <c r="P87" s="303"/>
      <c r="Q87" s="326"/>
    </row>
    <row r="88" spans="2:39" x14ac:dyDescent="0.25">
      <c r="B88" s="329" t="s">
        <v>769</v>
      </c>
      <c r="C88" s="329"/>
      <c r="D88" s="329"/>
      <c r="E88" s="329"/>
      <c r="F88" s="329"/>
      <c r="G88" s="329"/>
      <c r="H88" s="329"/>
      <c r="I88" s="327">
        <v>8</v>
      </c>
      <c r="J88" s="327">
        <v>0</v>
      </c>
      <c r="K88" s="304"/>
      <c r="L88" s="304"/>
      <c r="M88" s="304"/>
      <c r="N88" s="304"/>
      <c r="O88" s="304"/>
      <c r="P88" s="327"/>
      <c r="Q88" s="326"/>
    </row>
    <row r="89" spans="2:39" x14ac:dyDescent="0.25">
      <c r="B89" s="329" t="s">
        <v>768</v>
      </c>
      <c r="C89" s="329"/>
      <c r="D89" s="329"/>
      <c r="E89" s="329"/>
      <c r="F89" s="329"/>
      <c r="G89" s="329"/>
      <c r="H89" s="329"/>
      <c r="I89" s="329"/>
      <c r="J89" s="327">
        <v>0</v>
      </c>
      <c r="K89" s="304"/>
      <c r="L89" s="304"/>
      <c r="M89" s="304"/>
      <c r="N89" s="304">
        <v>0</v>
      </c>
      <c r="O89" s="304">
        <v>0</v>
      </c>
      <c r="P89" s="327"/>
      <c r="Q89" s="326"/>
    </row>
    <row r="90" spans="2:39" x14ac:dyDescent="0.25">
      <c r="B90" s="252" t="s">
        <v>767</v>
      </c>
      <c r="C90" s="252"/>
      <c r="D90" s="252"/>
      <c r="E90" s="252"/>
      <c r="F90" s="252"/>
      <c r="G90" s="252"/>
      <c r="H90" s="252"/>
      <c r="I90" s="252"/>
      <c r="J90" s="327">
        <v>10000</v>
      </c>
      <c r="K90" s="327"/>
      <c r="L90" s="327">
        <v>1500000</v>
      </c>
      <c r="M90" s="304"/>
      <c r="N90" s="304"/>
      <c r="O90" s="304"/>
      <c r="P90" s="303"/>
      <c r="Q90" s="326"/>
    </row>
    <row r="91" spans="2:39" x14ac:dyDescent="0.25">
      <c r="B91" s="330" t="s">
        <v>766</v>
      </c>
      <c r="C91" s="329"/>
      <c r="D91" s="329"/>
      <c r="E91" s="329"/>
      <c r="F91" s="252"/>
      <c r="G91" s="252"/>
      <c r="H91" s="252"/>
      <c r="I91" s="328">
        <v>0</v>
      </c>
      <c r="J91" s="327"/>
      <c r="K91" s="304"/>
      <c r="L91" s="304"/>
      <c r="M91" s="304">
        <f>-$I$91*M61</f>
        <v>0</v>
      </c>
      <c r="N91" s="304">
        <f>-$I$91*N61</f>
        <v>0</v>
      </c>
      <c r="O91" s="304">
        <f>-$I$91*O61</f>
        <v>0</v>
      </c>
      <c r="P91" s="303"/>
      <c r="Q91" s="326"/>
    </row>
    <row r="92" spans="2:39" s="320" customFormat="1" ht="13" x14ac:dyDescent="0.3">
      <c r="B92" s="325" t="s">
        <v>765</v>
      </c>
      <c r="C92" s="325"/>
      <c r="D92" s="325"/>
      <c r="E92" s="325"/>
      <c r="F92" s="325"/>
      <c r="G92" s="325"/>
      <c r="H92" s="325"/>
      <c r="I92" s="325"/>
      <c r="J92" s="307">
        <f>+J84+J89+J86+J90+J85+J88</f>
        <v>10000</v>
      </c>
      <c r="K92" s="324">
        <f>+K84+K89+K86+K90+K85+K88+K91+K87</f>
        <v>169421.42465753423</v>
      </c>
      <c r="L92" s="324">
        <f>+L84+L89+L86+L90+L85+L88+L91+L87</f>
        <v>4287902.4999999991</v>
      </c>
      <c r="M92" s="324">
        <f>+M84+M89+M86+M90+M85+M88+M91+M87</f>
        <v>3671199.3643835606</v>
      </c>
      <c r="N92" s="324">
        <f>+N84+N89+N86+N90+N85+N88+N91+N87</f>
        <v>5327293.9549771668</v>
      </c>
      <c r="O92" s="324">
        <f>+O84+O89+O86+O90+O85+O88+O91+O87</f>
        <v>7542862.7663561627</v>
      </c>
      <c r="P92" s="323"/>
      <c r="Q92" s="322"/>
      <c r="AH92" s="321"/>
      <c r="AI92" s="321"/>
      <c r="AJ92" s="321"/>
      <c r="AK92" s="321"/>
      <c r="AL92" s="321"/>
      <c r="AM92" s="321"/>
    </row>
    <row r="93" spans="2:39" x14ac:dyDescent="0.25">
      <c r="B93" s="252" t="s">
        <v>764</v>
      </c>
      <c r="C93" s="252"/>
      <c r="D93" s="252"/>
      <c r="E93" s="252"/>
      <c r="F93" s="252"/>
      <c r="G93" s="252"/>
      <c r="H93" s="252"/>
      <c r="I93" s="252"/>
      <c r="J93" s="303">
        <v>0</v>
      </c>
      <c r="K93" s="304">
        <f>J94</f>
        <v>10000</v>
      </c>
      <c r="L93" s="304">
        <f>K94</f>
        <v>179421.42465753423</v>
      </c>
      <c r="M93" s="304">
        <f>L94</f>
        <v>4467323.9246575329</v>
      </c>
      <c r="N93" s="304">
        <f>M94</f>
        <v>8138523.2890410936</v>
      </c>
      <c r="O93" s="304">
        <f>N94</f>
        <v>13465817.24401826</v>
      </c>
      <c r="P93" s="303"/>
      <c r="Q93" s="303"/>
    </row>
    <row r="94" spans="2:39" x14ac:dyDescent="0.25">
      <c r="B94" s="252" t="s">
        <v>763</v>
      </c>
      <c r="C94" s="252"/>
      <c r="D94" s="252"/>
      <c r="E94" s="252"/>
      <c r="F94" s="252"/>
      <c r="G94" s="252"/>
      <c r="H94" s="252"/>
      <c r="I94" s="252"/>
      <c r="J94" s="303">
        <f t="shared" ref="J94:O94" si="5">J93+J92</f>
        <v>10000</v>
      </c>
      <c r="K94" s="304">
        <f t="shared" si="5"/>
        <v>179421.42465753423</v>
      </c>
      <c r="L94" s="304">
        <f t="shared" si="5"/>
        <v>4467323.9246575329</v>
      </c>
      <c r="M94" s="304">
        <f t="shared" si="5"/>
        <v>8138523.2890410936</v>
      </c>
      <c r="N94" s="304">
        <f t="shared" si="5"/>
        <v>13465817.24401826</v>
      </c>
      <c r="O94" s="304">
        <f t="shared" si="5"/>
        <v>21008680.010374423</v>
      </c>
      <c r="P94" s="303"/>
      <c r="Q94" s="303"/>
    </row>
    <row r="95" spans="2:39" s="318" customFormat="1" ht="13" outlineLevel="1" x14ac:dyDescent="0.3">
      <c r="B95" s="319" t="s">
        <v>762</v>
      </c>
      <c r="C95" s="319"/>
      <c r="D95" s="319"/>
      <c r="E95" s="319"/>
      <c r="F95" s="319"/>
      <c r="G95" s="319"/>
      <c r="H95" s="319"/>
      <c r="I95" s="319"/>
      <c r="J95" s="303">
        <f t="shared" ref="J95:O95" si="6">+J94-J67</f>
        <v>0</v>
      </c>
      <c r="K95" s="304">
        <f t="shared" si="6"/>
        <v>0</v>
      </c>
      <c r="L95" s="304">
        <f t="shared" si="6"/>
        <v>0</v>
      </c>
      <c r="M95" s="304">
        <f t="shared" si="6"/>
        <v>0</v>
      </c>
      <c r="N95" s="304">
        <f t="shared" si="6"/>
        <v>0</v>
      </c>
      <c r="O95" s="304">
        <f t="shared" si="6"/>
        <v>0</v>
      </c>
      <c r="P95" s="303"/>
      <c r="Q95" s="303"/>
    </row>
    <row r="96" spans="2:39" ht="13" x14ac:dyDescent="0.3">
      <c r="B96" s="302"/>
      <c r="C96" s="302"/>
      <c r="D96" s="302"/>
      <c r="E96" s="302"/>
      <c r="F96" s="302"/>
      <c r="G96" s="302"/>
      <c r="H96" s="302"/>
      <c r="I96" s="302"/>
    </row>
    <row r="97" spans="2:17" ht="13" x14ac:dyDescent="0.3">
      <c r="B97" s="317" t="s">
        <v>754</v>
      </c>
      <c r="C97" s="317"/>
      <c r="D97" s="317"/>
      <c r="E97" s="317"/>
      <c r="F97" s="317"/>
      <c r="G97" s="317"/>
      <c r="H97" s="317"/>
      <c r="I97" s="317"/>
      <c r="J97" s="315"/>
      <c r="K97" s="316">
        <f>+K3</f>
        <v>2025</v>
      </c>
      <c r="L97" s="316">
        <f>+L3</f>
        <v>2026</v>
      </c>
      <c r="M97" s="316">
        <f>+M3</f>
        <v>2027</v>
      </c>
      <c r="N97" s="316">
        <f>+N3</f>
        <v>2028</v>
      </c>
      <c r="O97" s="316">
        <f>+O3</f>
        <v>2029</v>
      </c>
      <c r="P97" s="315"/>
      <c r="Q97" s="315"/>
    </row>
    <row r="98" spans="2:17" x14ac:dyDescent="0.25">
      <c r="B98" s="289" t="s">
        <v>672</v>
      </c>
      <c r="I98" s="290" t="s">
        <v>761</v>
      </c>
    </row>
    <row r="99" spans="2:17" x14ac:dyDescent="0.25">
      <c r="B99" s="290" t="str">
        <f>+B10</f>
        <v>GLOBAL REVENUE</v>
      </c>
      <c r="C99" s="290"/>
      <c r="D99" s="290"/>
      <c r="E99" s="290"/>
      <c r="I99" s="289">
        <v>10</v>
      </c>
      <c r="K99" s="290">
        <f>+K10</f>
        <v>6480000</v>
      </c>
      <c r="L99" s="290">
        <f>L12</f>
        <v>0</v>
      </c>
      <c r="M99" s="290">
        <f>M12</f>
        <v>0</v>
      </c>
      <c r="N99" s="290">
        <f>N12</f>
        <v>0</v>
      </c>
      <c r="O99" s="290">
        <f>O12</f>
        <v>0</v>
      </c>
    </row>
    <row r="100" spans="2:17" x14ac:dyDescent="0.25">
      <c r="B100" s="290" t="s">
        <v>760</v>
      </c>
      <c r="C100" s="290"/>
      <c r="D100" s="290"/>
      <c r="E100" s="290"/>
      <c r="I100" s="289">
        <v>10</v>
      </c>
      <c r="K100" s="290">
        <f>+K12+K14</f>
        <v>0</v>
      </c>
      <c r="L100" s="290">
        <f>L10+L14+L16</f>
        <v>14129099.999999998</v>
      </c>
      <c r="M100" s="290">
        <f>M10+M14+M16</f>
        <v>16954919.999999996</v>
      </c>
      <c r="N100" s="290">
        <f>N10+N14+N16</f>
        <v>22041395.999999996</v>
      </c>
      <c r="O100" s="290">
        <f>O10+O14+O16</f>
        <v>28653814.799999997</v>
      </c>
    </row>
    <row r="101" spans="2:17" x14ac:dyDescent="0.25">
      <c r="B101" s="289" t="s">
        <v>667</v>
      </c>
    </row>
    <row r="102" spans="2:17" x14ac:dyDescent="0.25">
      <c r="B102" s="290" t="str">
        <f>+B36</f>
        <v>Total running cost of Fleet</v>
      </c>
      <c r="C102" s="290"/>
      <c r="D102" s="290"/>
      <c r="E102" s="290"/>
      <c r="I102" s="289">
        <v>30</v>
      </c>
      <c r="K102" s="290">
        <f>+K36</f>
        <v>1097600</v>
      </c>
      <c r="L102" s="290">
        <f>+L36</f>
        <v>1082640</v>
      </c>
      <c r="M102" s="290">
        <f>+M36</f>
        <v>1257200</v>
      </c>
      <c r="N102" s="290">
        <f>+N36</f>
        <v>1567360</v>
      </c>
      <c r="O102" s="290">
        <f>+O36</f>
        <v>1944569</v>
      </c>
    </row>
    <row r="103" spans="2:17" x14ac:dyDescent="0.25">
      <c r="B103" s="290" t="s">
        <v>759</v>
      </c>
      <c r="C103" s="290"/>
      <c r="D103" s="290"/>
      <c r="E103" s="290"/>
      <c r="I103" s="289">
        <v>30</v>
      </c>
      <c r="K103" s="290">
        <f>+K39+K40+K41+K42</f>
        <v>2027100</v>
      </c>
      <c r="L103" s="290">
        <f>+L39+L40+L41+L42</f>
        <v>2083000</v>
      </c>
      <c r="M103" s="290">
        <f>+M39+M40+M41+M42</f>
        <v>2161500</v>
      </c>
      <c r="N103" s="290">
        <f>+N39+N40+N41+N42</f>
        <v>2350100</v>
      </c>
      <c r="O103" s="290">
        <f>+O39+O40+O41+O42</f>
        <v>2529635</v>
      </c>
    </row>
    <row r="104" spans="2:17" x14ac:dyDescent="0.25">
      <c r="B104" s="289" t="s">
        <v>758</v>
      </c>
    </row>
    <row r="105" spans="2:17" x14ac:dyDescent="0.25">
      <c r="B105" s="290" t="str">
        <f>+B32</f>
        <v>Total Salaries and Affialites</v>
      </c>
      <c r="C105" s="290"/>
      <c r="D105" s="290"/>
      <c r="E105" s="290"/>
      <c r="I105" s="289">
        <v>10</v>
      </c>
      <c r="K105" s="290">
        <f>+K32</f>
        <v>2311880</v>
      </c>
      <c r="L105" s="290">
        <f>+L32</f>
        <v>4095680</v>
      </c>
      <c r="M105" s="290">
        <f>+M32</f>
        <v>4934816</v>
      </c>
      <c r="N105" s="290">
        <f>+N32</f>
        <v>6099660.8000000007</v>
      </c>
      <c r="O105" s="290">
        <f>+O32</f>
        <v>7613966.040000001</v>
      </c>
    </row>
    <row r="106" spans="2:17" x14ac:dyDescent="0.25">
      <c r="B106" s="314" t="s">
        <v>757</v>
      </c>
      <c r="C106" s="290"/>
      <c r="D106" s="290"/>
      <c r="E106" s="290"/>
      <c r="I106" s="289">
        <v>30</v>
      </c>
      <c r="K106" s="290">
        <f>+K23-K29</f>
        <v>771024</v>
      </c>
      <c r="L106" s="290">
        <f>+L23-L29</f>
        <v>1707714</v>
      </c>
      <c r="M106" s="290">
        <f>+M23-M29</f>
        <v>2049256.7999999984</v>
      </c>
      <c r="N106" s="290">
        <f>+N23-N29</f>
        <v>2664033.84</v>
      </c>
      <c r="O106" s="290">
        <f>+O23-O29</f>
        <v>3463243.9919999968</v>
      </c>
    </row>
    <row r="107" spans="2:17" x14ac:dyDescent="0.25">
      <c r="B107" s="314"/>
      <c r="C107" s="290"/>
      <c r="D107" s="290"/>
      <c r="E107" s="290"/>
    </row>
    <row r="108" spans="2:17" x14ac:dyDescent="0.25">
      <c r="B108" s="289" t="s">
        <v>756</v>
      </c>
      <c r="K108" s="290">
        <f>K99/365*$I$99+K100/365*$I$100</f>
        <v>177534.24657534249</v>
      </c>
      <c r="L108" s="290">
        <f>L99/365*$I$99+L100/365*$I$100</f>
        <v>387098.63013698626</v>
      </c>
      <c r="M108" s="290">
        <f>M99/365*$I$99+M100/365*$I$100</f>
        <v>464518.35616438347</v>
      </c>
      <c r="N108" s="290">
        <f>N99/365*$I$99+N100/365*$I$100</f>
        <v>603873.86301369849</v>
      </c>
      <c r="O108" s="290">
        <f>O99/365*$I$99+O100/365*$I$100</f>
        <v>785036.0219178081</v>
      </c>
    </row>
    <row r="109" spans="2:17" x14ac:dyDescent="0.25">
      <c r="B109" s="289" t="s">
        <v>755</v>
      </c>
      <c r="K109" s="290">
        <f>K102/365*$I$102+K103/365*$I$103+K105/365*$I$105+K106/365*$I$106</f>
        <v>383535.67123287672</v>
      </c>
      <c r="L109" s="290">
        <f>L102/365*$I$102+L103/365*$I$103+L105/365*$I$105+L106/365*$I$106</f>
        <v>512760.05479452055</v>
      </c>
      <c r="M109" s="290">
        <f>M102/365*$I$102+M103/365*$I$103+M105/365*$I$105+M106/365*$I$106</f>
        <v>584621.54520547925</v>
      </c>
      <c r="N109" s="290">
        <f>N102/365*$I$102+N103/365*$I$103+N105/365*$I$105+N106/365*$I$106</f>
        <v>708058.6936986302</v>
      </c>
      <c r="O109" s="290">
        <f>O102/365*$I$102+O103/365*$I$103+O105/365*$I$105+O106/365*$I$106</f>
        <v>860994.79495890392</v>
      </c>
    </row>
    <row r="110" spans="2:17" ht="13" x14ac:dyDescent="0.3">
      <c r="B110" s="313" t="s">
        <v>754</v>
      </c>
      <c r="C110" s="313"/>
      <c r="D110" s="313"/>
      <c r="E110" s="313"/>
      <c r="F110" s="313"/>
      <c r="G110" s="313"/>
      <c r="H110" s="313"/>
      <c r="I110" s="313"/>
      <c r="J110" s="312"/>
      <c r="K110" s="312">
        <f>K109-K108</f>
        <v>206001.42465753423</v>
      </c>
      <c r="L110" s="312">
        <f>L109-L108</f>
        <v>125661.42465753428</v>
      </c>
      <c r="M110" s="312">
        <f>M109-M108</f>
        <v>120103.18904109579</v>
      </c>
      <c r="N110" s="312">
        <f>N109-N108</f>
        <v>104184.83068493172</v>
      </c>
      <c r="O110" s="312">
        <f>O109-O108</f>
        <v>75958.773041095817</v>
      </c>
      <c r="P110" s="312"/>
    </row>
    <row r="112" spans="2:17" ht="13" hidden="1" outlineLevel="1" x14ac:dyDescent="0.25">
      <c r="B112" s="311" t="s">
        <v>753</v>
      </c>
      <c r="C112" s="311"/>
      <c r="D112" s="311"/>
      <c r="E112" s="311"/>
      <c r="F112" s="311"/>
      <c r="G112" s="311"/>
      <c r="H112" s="311"/>
      <c r="I112" s="311"/>
      <c r="J112" s="309">
        <f t="shared" ref="J112:O112" si="7">J1</f>
        <v>2022</v>
      </c>
      <c r="K112" s="310">
        <f t="shared" si="7"/>
        <v>2023</v>
      </c>
      <c r="L112" s="310">
        <f t="shared" si="7"/>
        <v>2024</v>
      </c>
      <c r="M112" s="310">
        <f t="shared" si="7"/>
        <v>2025</v>
      </c>
      <c r="N112" s="310">
        <f t="shared" si="7"/>
        <v>2026</v>
      </c>
      <c r="O112" s="310">
        <f t="shared" si="7"/>
        <v>2027</v>
      </c>
      <c r="P112" s="309"/>
      <c r="Q112" s="308">
        <f>P112+1</f>
        <v>1</v>
      </c>
    </row>
    <row r="113" spans="2:62" ht="13" hidden="1" outlineLevel="1" x14ac:dyDescent="0.3">
      <c r="B113" s="302" t="s">
        <v>752</v>
      </c>
      <c r="C113" s="302"/>
      <c r="D113" s="302"/>
      <c r="E113" s="302"/>
      <c r="F113" s="302"/>
      <c r="G113" s="302"/>
      <c r="H113" s="302"/>
      <c r="I113" s="302"/>
      <c r="J113" s="307"/>
      <c r="K113" s="304">
        <f>+K84</f>
        <v>169421.42465753423</v>
      </c>
      <c r="L113" s="304">
        <f>+L84</f>
        <v>4323089.9999999981</v>
      </c>
      <c r="M113" s="304">
        <f>+M84</f>
        <v>5638025.76438356</v>
      </c>
      <c r="N113" s="304">
        <f>+N84</f>
        <v>8182790.8416438317</v>
      </c>
      <c r="O113" s="304">
        <f>+O84</f>
        <v>11589782.902356163</v>
      </c>
      <c r="P113" s="303"/>
    </row>
    <row r="114" spans="2:62" ht="13" hidden="1" outlineLevel="1" x14ac:dyDescent="0.3">
      <c r="B114" s="306" t="str">
        <f>+B92</f>
        <v>CF</v>
      </c>
      <c r="C114" s="306"/>
      <c r="D114" s="306"/>
      <c r="E114" s="306"/>
      <c r="F114" s="306"/>
      <c r="G114" s="306"/>
      <c r="H114" s="306"/>
      <c r="I114" s="306"/>
      <c r="J114" s="303"/>
      <c r="K114" s="304">
        <f>+K113</f>
        <v>169421.42465753423</v>
      </c>
      <c r="L114" s="304">
        <f>+L113</f>
        <v>4323089.9999999981</v>
      </c>
      <c r="M114" s="304">
        <f>+M113</f>
        <v>5638025.76438356</v>
      </c>
      <c r="N114" s="304">
        <f>+N113</f>
        <v>8182790.8416438317</v>
      </c>
      <c r="O114" s="304">
        <f>+O113</f>
        <v>11589782.902356163</v>
      </c>
      <c r="P114" s="303"/>
      <c r="Q114" s="290">
        <f>P81*R114-P72+P67</f>
        <v>0</v>
      </c>
      <c r="R114" s="289">
        <v>5</v>
      </c>
      <c r="S114" s="289" t="s">
        <v>751</v>
      </c>
    </row>
    <row r="115" spans="2:62" hidden="1" outlineLevel="1" x14ac:dyDescent="0.25"/>
    <row r="116" spans="2:62" ht="13" hidden="1" outlineLevel="1" x14ac:dyDescent="0.3">
      <c r="B116" s="302" t="s">
        <v>750</v>
      </c>
      <c r="C116" s="302"/>
      <c r="D116" s="302"/>
      <c r="E116" s="302"/>
      <c r="F116" s="302"/>
      <c r="G116" s="302"/>
      <c r="H116" s="302"/>
      <c r="I116" s="302"/>
      <c r="J116" s="305" t="e">
        <f>IRR(J114:Q114)</f>
        <v>#NUM!</v>
      </c>
      <c r="K116" s="304"/>
      <c r="L116" s="304"/>
      <c r="M116" s="304"/>
      <c r="N116" s="304"/>
      <c r="O116" s="304"/>
      <c r="P116" s="303"/>
    </row>
    <row r="117" spans="2:62" s="290" customFormat="1" ht="13" hidden="1" outlineLevel="1" x14ac:dyDescent="0.3">
      <c r="B117" s="302"/>
      <c r="C117" s="302"/>
      <c r="D117" s="302"/>
      <c r="E117" s="302"/>
      <c r="F117" s="302"/>
      <c r="G117" s="302"/>
      <c r="H117" s="302"/>
      <c r="I117" s="302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</row>
    <row r="118" spans="2:62" s="293" customFormat="1" ht="15" hidden="1" outlineLevel="1" x14ac:dyDescent="0.3">
      <c r="B118" s="301" t="s">
        <v>749</v>
      </c>
      <c r="C118" s="301"/>
      <c r="D118" s="301"/>
      <c r="E118" s="301"/>
      <c r="F118" s="300"/>
      <c r="G118" s="300"/>
      <c r="H118" s="299"/>
      <c r="I118" s="295"/>
      <c r="J118" s="298"/>
      <c r="K118" s="297">
        <f>+K3</f>
        <v>2025</v>
      </c>
      <c r="L118" s="296">
        <f>+K118+1</f>
        <v>2026</v>
      </c>
      <c r="M118" s="296">
        <f>+L118+1</f>
        <v>2027</v>
      </c>
      <c r="N118" s="296">
        <f>+M118+1</f>
        <v>2028</v>
      </c>
      <c r="O118" s="296">
        <f>+N118+1</f>
        <v>2029</v>
      </c>
      <c r="P118" s="295"/>
      <c r="AF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</row>
    <row r="119" spans="2:62" hidden="1" outlineLevel="1" x14ac:dyDescent="0.25"/>
    <row r="120" spans="2:62" hidden="1" outlineLevel="1" x14ac:dyDescent="0.25">
      <c r="B120" s="289" t="s">
        <v>748</v>
      </c>
    </row>
    <row r="121" spans="2:62" hidden="1" outlineLevel="1" x14ac:dyDescent="0.25"/>
    <row r="122" spans="2:62" hidden="1" outlineLevel="1" x14ac:dyDescent="0.25">
      <c r="B122" s="289" t="s">
        <v>632</v>
      </c>
      <c r="I122" s="289">
        <v>-15.05536</v>
      </c>
      <c r="J122" s="290">
        <f>+J84</f>
        <v>0</v>
      </c>
      <c r="K122" s="290">
        <f>+K81</f>
        <v>-36580</v>
      </c>
      <c r="L122" s="290">
        <f>+L81</f>
        <v>4512929.9999999981</v>
      </c>
      <c r="M122" s="290">
        <f>+M81</f>
        <v>5775583.9999999981</v>
      </c>
      <c r="N122" s="290">
        <f>+N81</f>
        <v>8350709.1999999955</v>
      </c>
      <c r="O122" s="290">
        <f>+O81</f>
        <v>11790008.959999999</v>
      </c>
    </row>
    <row r="123" spans="2:62" hidden="1" outlineLevel="1" x14ac:dyDescent="0.25">
      <c r="B123" s="289" t="s">
        <v>747</v>
      </c>
      <c r="I123" s="289">
        <v>349.36192000000005</v>
      </c>
      <c r="J123" s="290">
        <f>-J85</f>
        <v>0</v>
      </c>
      <c r="K123" s="290">
        <f>K85</f>
        <v>0</v>
      </c>
      <c r="L123" s="290">
        <f>L85</f>
        <v>-1535187.4999999993</v>
      </c>
      <c r="M123" s="290">
        <f>M85</f>
        <v>-1966826.3999999992</v>
      </c>
      <c r="N123" s="290">
        <f>N85</f>
        <v>-2855496.8866666649</v>
      </c>
      <c r="O123" s="290">
        <f>O85</f>
        <v>-4046920.1359999995</v>
      </c>
    </row>
    <row r="124" spans="2:62" hidden="1" outlineLevel="1" x14ac:dyDescent="0.25">
      <c r="B124" s="289" t="s">
        <v>746</v>
      </c>
      <c r="I124" s="289">
        <f t="shared" ref="I124:O124" si="8">I122+I123</f>
        <v>334.30656000000005</v>
      </c>
      <c r="J124" s="290">
        <f t="shared" si="8"/>
        <v>0</v>
      </c>
      <c r="K124" s="290">
        <f t="shared" si="8"/>
        <v>-36580</v>
      </c>
      <c r="L124" s="290">
        <f t="shared" si="8"/>
        <v>2977742.4999999991</v>
      </c>
      <c r="M124" s="290">
        <f t="shared" si="8"/>
        <v>3808757.5999999987</v>
      </c>
      <c r="N124" s="290">
        <f t="shared" si="8"/>
        <v>5495212.3133333307</v>
      </c>
      <c r="O124" s="290">
        <f t="shared" si="8"/>
        <v>7743088.8239999991</v>
      </c>
    </row>
    <row r="125" spans="2:62" hidden="1" outlineLevel="1" x14ac:dyDescent="0.25">
      <c r="B125" s="289" t="s">
        <v>745</v>
      </c>
      <c r="J125" s="290">
        <f t="shared" ref="J125:O125" si="9">+J82</f>
        <v>0</v>
      </c>
      <c r="K125" s="290">
        <f t="shared" si="9"/>
        <v>0</v>
      </c>
      <c r="L125" s="290">
        <f t="shared" si="9"/>
        <v>-109500</v>
      </c>
      <c r="M125" s="290">
        <f t="shared" si="9"/>
        <v>-132000</v>
      </c>
      <c r="N125" s="290">
        <f t="shared" si="9"/>
        <v>-152000</v>
      </c>
      <c r="O125" s="290">
        <f t="shared" si="9"/>
        <v>-172000</v>
      </c>
    </row>
    <row r="126" spans="2:62" hidden="1" outlineLevel="1" x14ac:dyDescent="0.25">
      <c r="B126" s="289" t="s">
        <v>744</v>
      </c>
      <c r="J126" s="290">
        <f t="shared" ref="J126:O126" si="10">+J84</f>
        <v>0</v>
      </c>
      <c r="K126" s="290">
        <f t="shared" si="10"/>
        <v>169421.42465753423</v>
      </c>
      <c r="L126" s="290">
        <f t="shared" si="10"/>
        <v>4323089.9999999981</v>
      </c>
      <c r="M126" s="290">
        <f t="shared" si="10"/>
        <v>5638025.76438356</v>
      </c>
      <c r="N126" s="290">
        <f t="shared" si="10"/>
        <v>8182790.8416438317</v>
      </c>
      <c r="O126" s="290">
        <f t="shared" si="10"/>
        <v>11589782.902356163</v>
      </c>
    </row>
    <row r="127" spans="2:62" hidden="1" outlineLevel="1" x14ac:dyDescent="0.25">
      <c r="B127" s="289" t="s">
        <v>743</v>
      </c>
      <c r="I127" s="289">
        <f t="shared" ref="I127:O127" si="11">+I124+I125+I126</f>
        <v>334.30656000000005</v>
      </c>
      <c r="J127" s="290">
        <f t="shared" si="11"/>
        <v>0</v>
      </c>
      <c r="K127" s="290">
        <f t="shared" si="11"/>
        <v>132841.42465753423</v>
      </c>
      <c r="L127" s="290">
        <f t="shared" si="11"/>
        <v>7191332.4999999972</v>
      </c>
      <c r="M127" s="290">
        <f t="shared" si="11"/>
        <v>9314783.3643835597</v>
      </c>
      <c r="N127" s="290">
        <f t="shared" si="11"/>
        <v>13526003.154977161</v>
      </c>
      <c r="O127" s="290">
        <f t="shared" si="11"/>
        <v>19160871.726356164</v>
      </c>
      <c r="Q127" s="290">
        <f>+P127*Q131</f>
        <v>0</v>
      </c>
    </row>
    <row r="128" spans="2:62" hidden="1" outlineLevel="1" x14ac:dyDescent="0.25"/>
    <row r="129" spans="2:17" hidden="1" outlineLevel="1" x14ac:dyDescent="0.25">
      <c r="Q129" s="290" t="s">
        <v>742</v>
      </c>
    </row>
    <row r="130" spans="2:17" hidden="1" outlineLevel="1" x14ac:dyDescent="0.25"/>
    <row r="131" spans="2:17" hidden="1" outlineLevel="1" x14ac:dyDescent="0.25">
      <c r="B131" s="289" t="s">
        <v>741</v>
      </c>
      <c r="I131" s="289">
        <v>0</v>
      </c>
      <c r="K131" s="290">
        <v>1</v>
      </c>
      <c r="L131" s="290">
        <v>2</v>
      </c>
      <c r="M131" s="290">
        <v>3</v>
      </c>
      <c r="N131" s="290">
        <v>4</v>
      </c>
      <c r="O131" s="290">
        <v>5</v>
      </c>
      <c r="Q131" s="290">
        <v>5</v>
      </c>
    </row>
    <row r="132" spans="2:17" hidden="1" outlineLevel="1" x14ac:dyDescent="0.25">
      <c r="B132" s="289" t="s">
        <v>733</v>
      </c>
      <c r="I132" s="291">
        <v>0.12</v>
      </c>
    </row>
    <row r="133" spans="2:17" hidden="1" outlineLevel="1" x14ac:dyDescent="0.25">
      <c r="B133" s="289" t="s">
        <v>740</v>
      </c>
      <c r="K133" s="290">
        <f>K$127/(1+$I132)^K$131</f>
        <v>118608.4148727984</v>
      </c>
      <c r="L133" s="290">
        <f>L$127/(1+$I132)^L$131</f>
        <v>5732886.2404336706</v>
      </c>
      <c r="M133" s="290">
        <f>M$127/(1+$I132)^M$131</f>
        <v>6630078.8114291672</v>
      </c>
      <c r="N133" s="290">
        <f>N$127/(1+$I132)^N$131</f>
        <v>8596019.5335487686</v>
      </c>
      <c r="O133" s="290">
        <f>O$127/(1+$I132)^O$131</f>
        <v>10872393.196513686</v>
      </c>
      <c r="Q133" s="290">
        <f>Q$127/(1+$I132)^P$131</f>
        <v>0</v>
      </c>
    </row>
    <row r="134" spans="2:17" hidden="1" outlineLevel="1" x14ac:dyDescent="0.25"/>
    <row r="135" spans="2:17" hidden="1" outlineLevel="1" x14ac:dyDescent="0.25">
      <c r="B135" s="289" t="s">
        <v>739</v>
      </c>
    </row>
    <row r="136" spans="2:17" hidden="1" outlineLevel="1" x14ac:dyDescent="0.25">
      <c r="B136" s="289" t="s">
        <v>738</v>
      </c>
      <c r="I136" s="291">
        <v>0.03</v>
      </c>
    </row>
    <row r="137" spans="2:17" hidden="1" outlineLevel="1" x14ac:dyDescent="0.25">
      <c r="B137" s="289" t="s">
        <v>737</v>
      </c>
      <c r="H137" s="289">
        <v>10230.655258447767</v>
      </c>
      <c r="I137" s="289">
        <f>+Q133</f>
        <v>0</v>
      </c>
      <c r="J137" s="292">
        <f>+I137/I139</f>
        <v>0</v>
      </c>
    </row>
    <row r="138" spans="2:17" hidden="1" outlineLevel="1" x14ac:dyDescent="0.25">
      <c r="B138" s="289" t="s">
        <v>736</v>
      </c>
      <c r="I138" s="289">
        <f>SUM(M133:O133)</f>
        <v>26098491.54149162</v>
      </c>
      <c r="J138" s="292">
        <f>+I138/I139</f>
        <v>1</v>
      </c>
    </row>
    <row r="139" spans="2:17" hidden="1" outlineLevel="1" x14ac:dyDescent="0.25">
      <c r="B139" s="289" t="s">
        <v>735</v>
      </c>
      <c r="I139" s="289">
        <f>+I138+I137</f>
        <v>26098491.54149162</v>
      </c>
    </row>
    <row r="140" spans="2:17" hidden="1" outlineLevel="1" x14ac:dyDescent="0.25"/>
    <row r="141" spans="2:17" hidden="1" outlineLevel="1" x14ac:dyDescent="0.25">
      <c r="K141" s="290" t="s">
        <v>734</v>
      </c>
    </row>
    <row r="142" spans="2:17" hidden="1" outlineLevel="1" x14ac:dyDescent="0.25">
      <c r="H142" s="289">
        <f>+I139</f>
        <v>26098491.54149162</v>
      </c>
      <c r="I142" s="291">
        <f>+J142-0.5%</f>
        <v>3.0000000000000002E-2</v>
      </c>
      <c r="J142" s="292">
        <f>+K142-0.5%</f>
        <v>3.5000000000000003E-2</v>
      </c>
      <c r="K142" s="292">
        <v>0.04</v>
      </c>
      <c r="L142" s="292">
        <f>K142+0.5%</f>
        <v>4.4999999999999998E-2</v>
      </c>
      <c r="M142" s="292">
        <f>L142+0.5%</f>
        <v>4.9999999999999996E-2</v>
      </c>
    </row>
    <row r="143" spans="2:17" hidden="1" outlineLevel="1" x14ac:dyDescent="0.25">
      <c r="H143" s="291">
        <f>+H144-1%</f>
        <v>9.0000000000000011E-2</v>
      </c>
      <c r="I143" s="289">
        <v>212.12762545296403</v>
      </c>
      <c r="J143" s="290">
        <v>230.29359607578169</v>
      </c>
      <c r="K143" s="290">
        <v>252.09276082316291</v>
      </c>
      <c r="L143" s="290">
        <v>278.73618440329551</v>
      </c>
      <c r="M143" s="290">
        <v>312.0404638784612</v>
      </c>
    </row>
    <row r="144" spans="2:17" hidden="1" outlineLevel="1" x14ac:dyDescent="0.25">
      <c r="H144" s="291">
        <f>+H145-1%</f>
        <v>0.1</v>
      </c>
      <c r="I144" s="289">
        <v>180.30238599999993</v>
      </c>
      <c r="J144" s="290">
        <v>193.23924296122053</v>
      </c>
      <c r="K144" s="290">
        <v>208.33224274931121</v>
      </c>
      <c r="L144" s="290">
        <v>226.16942431705471</v>
      </c>
      <c r="M144" s="290">
        <v>247.574042198347</v>
      </c>
    </row>
    <row r="145" spans="7:13" hidden="1" outlineLevel="1" x14ac:dyDescent="0.25">
      <c r="H145" s="291">
        <f>+H146-1%</f>
        <v>0.11</v>
      </c>
      <c r="I145" s="289">
        <v>156.46617481210939</v>
      </c>
      <c r="J145" s="290">
        <v>166.10065605010413</v>
      </c>
      <c r="K145" s="290">
        <v>177.11149175066953</v>
      </c>
      <c r="L145" s="290">
        <v>189.81630217439886</v>
      </c>
      <c r="M145" s="290">
        <v>204.63858100208313</v>
      </c>
    </row>
    <row r="146" spans="7:13" hidden="1" outlineLevel="1" x14ac:dyDescent="0.25">
      <c r="G146" s="290" t="s">
        <v>733</v>
      </c>
      <c r="H146" s="291">
        <v>0.12</v>
      </c>
      <c r="I146" s="289">
        <v>137.95499736111108</v>
      </c>
      <c r="J146" s="290">
        <v>145.3771189180672</v>
      </c>
      <c r="K146" s="290">
        <v>153.72700566964284</v>
      </c>
      <c r="L146" s="290">
        <v>163.19021065476187</v>
      </c>
      <c r="M146" s="290">
        <v>174.00530206632646</v>
      </c>
    </row>
    <row r="147" spans="7:13" hidden="1" outlineLevel="1" x14ac:dyDescent="0.25">
      <c r="H147" s="291">
        <f>+H146+1%</f>
        <v>0.13</v>
      </c>
      <c r="I147" s="289">
        <v>123.17049482183417</v>
      </c>
      <c r="J147" s="290">
        <v>129.04194055182992</v>
      </c>
      <c r="K147" s="290">
        <v>135.56576914071411</v>
      </c>
      <c r="L147" s="290">
        <v>142.85710697534932</v>
      </c>
      <c r="M147" s="290">
        <v>151.059862039314</v>
      </c>
    </row>
    <row r="148" spans="7:13" hidden="1" outlineLevel="1" x14ac:dyDescent="0.25">
      <c r="H148" s="291">
        <f>+H147+1%</f>
        <v>0.14000000000000001</v>
      </c>
      <c r="I148" s="289">
        <v>111.09556243907211</v>
      </c>
      <c r="J148" s="290">
        <v>115.84053665025131</v>
      </c>
      <c r="K148" s="290">
        <v>121.06000828254842</v>
      </c>
      <c r="L148" s="290">
        <v>126.8288979814031</v>
      </c>
      <c r="M148" s="290">
        <v>133.23877542457501</v>
      </c>
    </row>
    <row r="149" spans="7:13" hidden="1" outlineLevel="1" x14ac:dyDescent="0.25">
      <c r="H149" s="291">
        <f>+H148+1%</f>
        <v>0.15000000000000002</v>
      </c>
      <c r="I149" s="289">
        <v>101.0521588078135</v>
      </c>
      <c r="J149" s="290">
        <v>104.95472947711023</v>
      </c>
      <c r="K149" s="290">
        <v>109.21207929816121</v>
      </c>
      <c r="L149" s="290">
        <v>113.87489100693132</v>
      </c>
      <c r="M149" s="290">
        <v>119.00398388657845</v>
      </c>
    </row>
    <row r="150" spans="7:13" hidden="1" outlineLevel="1" x14ac:dyDescent="0.25"/>
    <row r="151" spans="7:13" hidden="1" outlineLevel="1" x14ac:dyDescent="0.25"/>
    <row r="152" spans="7:13" hidden="1" outlineLevel="1" x14ac:dyDescent="0.25"/>
    <row r="153" spans="7:13" collapsed="1" x14ac:dyDescent="0.25"/>
  </sheetData>
  <dataValidations count="1">
    <dataValidation type="list" allowBlank="1" showInputMessage="1" showErrorMessage="1" sqref="H137" xr:uid="{1EB91BAC-448C-413F-B426-9D9DB36B589C}">
      <formula1>$P$124:$Q$124</formula1>
    </dataValidation>
  </dataValidations>
  <pageMargins left="0.7" right="0.7" top="0.75" bottom="0.75" header="0.3" footer="0.3"/>
  <pageSetup paperSize="9" scale="36" fitToHeight="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9DFB-9332-4123-81EB-01347DEF2F63}">
  <dimension ref="A1:T21"/>
  <sheetViews>
    <sheetView zoomScale="118" workbookViewId="0">
      <selection activeCell="A9" sqref="A9:XFD12"/>
    </sheetView>
  </sheetViews>
  <sheetFormatPr baseColWidth="10" defaultColWidth="11" defaultRowHeight="13.5" x14ac:dyDescent="0.3"/>
  <cols>
    <col min="1" max="1" width="37.4609375" style="386" customWidth="1"/>
    <col min="2" max="9" width="1.84375" style="386" hidden="1" customWidth="1"/>
    <col min="10" max="10" width="2" style="386" hidden="1" customWidth="1"/>
    <col min="11" max="15" width="12.3828125" style="386" customWidth="1"/>
    <col min="16" max="16" width="3.61328125" style="386" customWidth="1"/>
    <col min="17" max="17" width="8.61328125" style="386" customWidth="1"/>
    <col min="18" max="16384" width="11" style="386"/>
  </cols>
  <sheetData>
    <row r="1" spans="1:20" s="410" customFormat="1" ht="13" x14ac:dyDescent="0.25">
      <c r="A1" s="413" t="s">
        <v>817</v>
      </c>
      <c r="B1" s="413"/>
      <c r="C1" s="413"/>
      <c r="D1" s="413"/>
      <c r="E1" s="413"/>
      <c r="F1" s="413"/>
      <c r="G1" s="413"/>
      <c r="H1" s="413"/>
      <c r="I1" s="413"/>
      <c r="J1" s="412"/>
      <c r="K1" s="412">
        <v>2022</v>
      </c>
      <c r="L1" s="412">
        <f>K1+1</f>
        <v>2023</v>
      </c>
      <c r="M1" s="412">
        <f>L1+1</f>
        <v>2024</v>
      </c>
      <c r="N1" s="412">
        <f>M1+1</f>
        <v>2025</v>
      </c>
      <c r="O1" s="412">
        <f>N1+1</f>
        <v>2026</v>
      </c>
      <c r="P1" s="412"/>
      <c r="Q1" s="411" t="s">
        <v>808</v>
      </c>
    </row>
    <row r="2" spans="1:20" x14ac:dyDescent="0.3">
      <c r="A2" s="409"/>
      <c r="B2" s="408"/>
      <c r="C2" s="408"/>
      <c r="D2" s="408"/>
      <c r="E2" s="408"/>
      <c r="F2" s="408"/>
      <c r="G2" s="408"/>
      <c r="H2" s="408"/>
      <c r="I2" s="408"/>
      <c r="J2" s="407"/>
      <c r="K2" s="407"/>
      <c r="L2" s="407"/>
      <c r="M2" s="407"/>
      <c r="N2" s="407"/>
      <c r="O2" s="407"/>
      <c r="P2" s="407"/>
      <c r="Q2" s="406"/>
    </row>
    <row r="3" spans="1:20" x14ac:dyDescent="0.3">
      <c r="A3" s="404" t="str">
        <f>+SINTESI!B5</f>
        <v>Team Chauffeurs / bodyguard LEON</v>
      </c>
      <c r="B3" s="403"/>
      <c r="C3" s="403"/>
      <c r="D3" s="403"/>
      <c r="E3" s="403"/>
      <c r="F3" s="403"/>
      <c r="G3" s="403"/>
      <c r="H3" s="403"/>
      <c r="I3" s="403"/>
      <c r="J3" s="402"/>
      <c r="K3" s="402">
        <f>+SINTESI!K5</f>
        <v>6</v>
      </c>
      <c r="L3" s="402">
        <f>+SINTESI!L5</f>
        <v>15</v>
      </c>
      <c r="M3" s="402">
        <f>+SINTESI!M5</f>
        <v>24</v>
      </c>
      <c r="N3" s="402">
        <f>+SINTESI!N5</f>
        <v>32</v>
      </c>
      <c r="O3" s="402">
        <f>+SINTESI!O5</f>
        <v>40</v>
      </c>
      <c r="P3" s="402"/>
      <c r="Q3" s="401">
        <f>(O3/K3)^(1/5)-1</f>
        <v>0.46144255162192538</v>
      </c>
    </row>
    <row r="4" spans="1:20" x14ac:dyDescent="0.3">
      <c r="A4" s="405" t="str">
        <f>+SINTESI!B6</f>
        <v>SECURITY DRIVERS</v>
      </c>
      <c r="B4" s="330"/>
      <c r="C4" s="330"/>
      <c r="D4" s="330"/>
      <c r="E4" s="330"/>
      <c r="F4" s="330"/>
      <c r="G4" s="330"/>
      <c r="H4" s="330"/>
      <c r="I4" s="330"/>
      <c r="J4" s="366"/>
      <c r="K4" s="366">
        <f>+SINTESI!K6</f>
        <v>10</v>
      </c>
      <c r="L4" s="366">
        <f>+SINTESI!L6</f>
        <v>20</v>
      </c>
      <c r="M4" s="366">
        <f>+SINTESI!M6</f>
        <v>60</v>
      </c>
      <c r="N4" s="366">
        <f>+SINTESI!N6</f>
        <v>180</v>
      </c>
      <c r="O4" s="366">
        <f>+SINTESI!O6</f>
        <v>500</v>
      </c>
      <c r="P4" s="366"/>
      <c r="Q4" s="392">
        <f>(O4/K4)^(1/5)-1</f>
        <v>1.1867241478865562</v>
      </c>
    </row>
    <row r="5" spans="1:20" x14ac:dyDescent="0.3">
      <c r="A5" s="404" t="str">
        <f>+SINTESI!B7</f>
        <v>Affiliés security guard (Basic/Prem/k9/Bodyguard)</v>
      </c>
      <c r="B5" s="403"/>
      <c r="C5" s="403"/>
      <c r="D5" s="403"/>
      <c r="E5" s="403"/>
      <c r="F5" s="403"/>
      <c r="G5" s="403"/>
      <c r="H5" s="403"/>
      <c r="I5" s="403"/>
      <c r="J5" s="402"/>
      <c r="K5" s="402">
        <f>+SINTESI!K7</f>
        <v>5</v>
      </c>
      <c r="L5" s="402">
        <f>+SINTESI!L7</f>
        <v>90</v>
      </c>
      <c r="M5" s="402">
        <f>+SINTESI!M7</f>
        <v>320</v>
      </c>
      <c r="N5" s="402">
        <f>+SINTESI!N7</f>
        <v>900</v>
      </c>
      <c r="O5" s="402">
        <f>+SINTESI!O7</f>
        <v>2600</v>
      </c>
      <c r="P5" s="402"/>
      <c r="Q5" s="401">
        <f>(O5/K5)^(1/5)-1</f>
        <v>2.4930167541811472</v>
      </c>
    </row>
    <row r="6" spans="1:20" x14ac:dyDescent="0.3">
      <c r="A6" s="405"/>
      <c r="B6" s="330"/>
      <c r="C6" s="330"/>
      <c r="D6" s="330"/>
      <c r="E6" s="330"/>
      <c r="F6" s="330"/>
      <c r="G6" s="330"/>
      <c r="H6" s="330"/>
      <c r="I6" s="330"/>
      <c r="J6" s="366"/>
      <c r="K6" s="366"/>
      <c r="L6" s="366"/>
      <c r="M6" s="366"/>
      <c r="N6" s="366"/>
      <c r="O6" s="366"/>
      <c r="P6" s="366"/>
      <c r="Q6" s="392"/>
    </row>
    <row r="7" spans="1:20" x14ac:dyDescent="0.3">
      <c r="A7" s="394" t="s">
        <v>816</v>
      </c>
      <c r="B7" s="330"/>
      <c r="C7" s="330"/>
      <c r="D7" s="330"/>
      <c r="E7" s="330"/>
      <c r="F7" s="330"/>
      <c r="G7" s="330"/>
      <c r="H7" s="330"/>
      <c r="I7" s="330"/>
      <c r="J7" s="366"/>
      <c r="K7" s="366"/>
      <c r="L7" s="366"/>
      <c r="M7" s="366"/>
      <c r="N7" s="366"/>
      <c r="O7" s="366"/>
      <c r="P7" s="366"/>
      <c r="Q7" s="392"/>
    </row>
    <row r="8" spans="1:20" s="387" customFormat="1" x14ac:dyDescent="0.3">
      <c r="A8" s="404" t="str">
        <f>+SINTESI!B10</f>
        <v>GLOBAL REVENUE</v>
      </c>
      <c r="B8" s="403"/>
      <c r="C8" s="403"/>
      <c r="D8" s="403"/>
      <c r="E8" s="403"/>
      <c r="F8" s="403"/>
      <c r="G8" s="403"/>
      <c r="H8" s="403"/>
      <c r="I8" s="403"/>
      <c r="J8" s="402"/>
      <c r="K8" s="402">
        <f>+SINTESI!K10</f>
        <v>6480000</v>
      </c>
      <c r="L8" s="402">
        <f>+SINTESI!L10</f>
        <v>14129099.999999998</v>
      </c>
      <c r="M8" s="402">
        <f>+SINTESI!M10</f>
        <v>16954919.999999996</v>
      </c>
      <c r="N8" s="402">
        <f>+SINTESI!N10</f>
        <v>22041395.999999996</v>
      </c>
      <c r="O8" s="402">
        <f>+SINTESI!O10</f>
        <v>28653814.799999997</v>
      </c>
      <c r="P8" s="402"/>
      <c r="Q8" s="401">
        <f>(O8/K8)^(1/5)-1</f>
        <v>0.34623689521469747</v>
      </c>
    </row>
    <row r="9" spans="1:20" hidden="1" x14ac:dyDescent="0.3">
      <c r="A9" s="405" t="str">
        <f>SINTESI!B12</f>
        <v>SECURITY DRIVERS</v>
      </c>
      <c r="B9" s="330"/>
      <c r="C9" s="330"/>
      <c r="D9" s="330"/>
      <c r="E9" s="330"/>
      <c r="F9" s="330"/>
      <c r="G9" s="330"/>
      <c r="H9" s="330"/>
      <c r="I9" s="330"/>
      <c r="J9" s="366"/>
      <c r="K9" s="366">
        <f>SINTESI!K12</f>
        <v>0</v>
      </c>
      <c r="L9" s="366">
        <f>SINTESI!L12</f>
        <v>0</v>
      </c>
      <c r="M9" s="366">
        <f>SINTESI!M12</f>
        <v>0</v>
      </c>
      <c r="N9" s="366">
        <f>SINTESI!N12</f>
        <v>0</v>
      </c>
      <c r="O9" s="366">
        <f>SINTESI!O12</f>
        <v>0</v>
      </c>
      <c r="P9" s="366"/>
      <c r="Q9" s="392" t="e">
        <f>(O9/K9)^(1/5)-1</f>
        <v>#DIV/0!</v>
      </c>
    </row>
    <row r="10" spans="1:20" s="387" customFormat="1" hidden="1" x14ac:dyDescent="0.3">
      <c r="A10" s="404" t="str">
        <f>+SINTESI!B14</f>
        <v>Affiliés without car</v>
      </c>
      <c r="B10" s="403"/>
      <c r="C10" s="403"/>
      <c r="D10" s="403"/>
      <c r="E10" s="403"/>
      <c r="F10" s="403"/>
      <c r="G10" s="403"/>
      <c r="H10" s="403"/>
      <c r="I10" s="403"/>
      <c r="J10" s="402"/>
      <c r="K10" s="402">
        <f>+SINTESI!K14</f>
        <v>0</v>
      </c>
      <c r="L10" s="402">
        <f>+SINTESI!L14</f>
        <v>0</v>
      </c>
      <c r="M10" s="402">
        <f>+SINTESI!M14</f>
        <v>0</v>
      </c>
      <c r="N10" s="402">
        <f>+SINTESI!N14</f>
        <v>0</v>
      </c>
      <c r="O10" s="402">
        <f>+SINTESI!O14</f>
        <v>0</v>
      </c>
      <c r="P10" s="402"/>
      <c r="Q10" s="401" t="e">
        <f>(O10/K10)^(1/5)-1</f>
        <v>#DIV/0!</v>
      </c>
    </row>
    <row r="11" spans="1:20" hidden="1" x14ac:dyDescent="0.3">
      <c r="A11" s="405" t="str">
        <f>+SINTESI!B16</f>
        <v>Others</v>
      </c>
      <c r="B11" s="330"/>
      <c r="C11" s="330"/>
      <c r="D11" s="330"/>
      <c r="E11" s="330"/>
      <c r="F11" s="330"/>
      <c r="G11" s="330"/>
      <c r="H11" s="330"/>
      <c r="I11" s="330"/>
      <c r="J11" s="366"/>
      <c r="K11" s="366">
        <f>+SINTESI!K16</f>
        <v>0</v>
      </c>
      <c r="L11" s="366">
        <f>+SINTESI!L16</f>
        <v>0</v>
      </c>
      <c r="M11" s="366">
        <f>+SINTESI!M16</f>
        <v>0</v>
      </c>
      <c r="N11" s="366">
        <f>+SINTESI!N16</f>
        <v>0</v>
      </c>
      <c r="O11" s="366">
        <f>+SINTESI!O16</f>
        <v>0</v>
      </c>
      <c r="P11" s="366"/>
      <c r="Q11" s="392"/>
    </row>
    <row r="12" spans="1:20" s="387" customFormat="1" hidden="1" x14ac:dyDescent="0.3">
      <c r="A12" s="404" t="str">
        <f>+SINTESI!B18</f>
        <v>Others</v>
      </c>
      <c r="B12" s="403"/>
      <c r="C12" s="403"/>
      <c r="D12" s="403"/>
      <c r="E12" s="403"/>
      <c r="F12" s="403"/>
      <c r="G12" s="403"/>
      <c r="H12" s="403"/>
      <c r="I12" s="403"/>
      <c r="J12" s="402"/>
      <c r="K12" s="402">
        <f>+SINTESI!K18</f>
        <v>0</v>
      </c>
      <c r="L12" s="402">
        <f>+SINTESI!L18</f>
        <v>0</v>
      </c>
      <c r="M12" s="402">
        <f>+SINTESI!M18</f>
        <v>0</v>
      </c>
      <c r="N12" s="402">
        <f>+SINTESI!N18</f>
        <v>0</v>
      </c>
      <c r="O12" s="402">
        <f>+SINTESI!O18</f>
        <v>0</v>
      </c>
      <c r="P12" s="402"/>
      <c r="Q12" s="401"/>
    </row>
    <row r="13" spans="1:20" x14ac:dyDescent="0.3">
      <c r="A13" s="394" t="s">
        <v>815</v>
      </c>
      <c r="B13" s="338"/>
      <c r="C13" s="338"/>
      <c r="D13" s="338"/>
      <c r="E13" s="338"/>
      <c r="F13" s="338"/>
      <c r="G13" s="338"/>
      <c r="H13" s="338"/>
      <c r="I13" s="338"/>
      <c r="J13" s="354"/>
      <c r="K13" s="370">
        <f>SINTESI!K21</f>
        <v>6480000</v>
      </c>
      <c r="L13" s="370">
        <f>SINTESI!L21</f>
        <v>14129099.999999998</v>
      </c>
      <c r="M13" s="370">
        <f>SINTESI!M21</f>
        <v>16954919.999999996</v>
      </c>
      <c r="N13" s="370">
        <f>SINTESI!N21</f>
        <v>22041395.999999996</v>
      </c>
      <c r="O13" s="370">
        <f>SINTESI!O21</f>
        <v>28653814.799999997</v>
      </c>
      <c r="P13" s="370"/>
      <c r="Q13" s="392">
        <f>(O13/K13)^(1/5)-1</f>
        <v>0.34623689521469747</v>
      </c>
    </row>
    <row r="14" spans="1:20" s="387" customFormat="1" x14ac:dyDescent="0.3">
      <c r="A14" s="398" t="s">
        <v>801</v>
      </c>
      <c r="B14" s="400"/>
      <c r="C14" s="400"/>
      <c r="D14" s="400"/>
      <c r="E14" s="400"/>
      <c r="F14" s="400"/>
      <c r="G14" s="400"/>
      <c r="H14" s="400"/>
      <c r="I14" s="400"/>
      <c r="J14" s="399"/>
      <c r="K14" s="397"/>
      <c r="L14" s="396">
        <f>L13/K13-1</f>
        <v>1.1804166666666664</v>
      </c>
      <c r="M14" s="396">
        <f>M13/L13-1</f>
        <v>0.19999999999999996</v>
      </c>
      <c r="N14" s="396">
        <f>N13/M13-1</f>
        <v>0.30000000000000004</v>
      </c>
      <c r="O14" s="396">
        <f>O13/N13-1</f>
        <v>0.30000000000000004</v>
      </c>
      <c r="P14" s="396"/>
      <c r="Q14" s="395"/>
    </row>
    <row r="15" spans="1:20" x14ac:dyDescent="0.3">
      <c r="A15" s="394" t="s">
        <v>632</v>
      </c>
      <c r="B15" s="338"/>
      <c r="C15" s="338"/>
      <c r="D15" s="338"/>
      <c r="E15" s="338"/>
      <c r="F15" s="338"/>
      <c r="G15" s="338"/>
      <c r="H15" s="338"/>
      <c r="I15" s="338"/>
      <c r="J15" s="354"/>
      <c r="K15" s="393">
        <f>SINTESI!K46</f>
        <v>-36580</v>
      </c>
      <c r="L15" s="393">
        <f>SINTESI!L46</f>
        <v>4512929.9999999981</v>
      </c>
      <c r="M15" s="393">
        <f>SINTESI!M46</f>
        <v>5775583.9999999981</v>
      </c>
      <c r="N15" s="393">
        <f>SINTESI!N46</f>
        <v>8350709.1999999955</v>
      </c>
      <c r="O15" s="393">
        <f>SINTESI!O46</f>
        <v>11790008.959999999</v>
      </c>
      <c r="P15" s="393"/>
      <c r="Q15" s="392">
        <f>(O15/K15)^(1/5)-1</f>
        <v>-4.1743447151261961</v>
      </c>
    </row>
    <row r="16" spans="1:20" s="387" customFormat="1" x14ac:dyDescent="0.3">
      <c r="A16" s="398" t="s">
        <v>814</v>
      </c>
      <c r="K16" s="397"/>
      <c r="L16" s="396">
        <f>L15/L13</f>
        <v>0.31940675626897669</v>
      </c>
      <c r="M16" s="396">
        <f>M15/M13</f>
        <v>0.34064354181559098</v>
      </c>
      <c r="N16" s="396">
        <f>N15/N13</f>
        <v>0.37886480511488457</v>
      </c>
      <c r="O16" s="396">
        <f>O15/O13</f>
        <v>0.41146385018165194</v>
      </c>
      <c r="P16" s="396"/>
      <c r="Q16" s="395"/>
      <c r="T16" s="387" t="s">
        <v>813</v>
      </c>
    </row>
    <row r="17" spans="1:17" x14ac:dyDescent="0.3">
      <c r="A17" s="394" t="s">
        <v>629</v>
      </c>
      <c r="B17" s="338"/>
      <c r="C17" s="338"/>
      <c r="D17" s="338"/>
      <c r="E17" s="338"/>
      <c r="F17" s="338"/>
      <c r="G17" s="338"/>
      <c r="H17" s="338"/>
      <c r="I17" s="338"/>
      <c r="J17" s="354"/>
      <c r="K17" s="393">
        <f>SINTESI!K49</f>
        <v>-68180</v>
      </c>
      <c r="L17" s="393">
        <f>SINTESI!L49</f>
        <v>4454429.9999999981</v>
      </c>
      <c r="M17" s="393">
        <f>SINTESI!M49</f>
        <v>5687683.9999999981</v>
      </c>
      <c r="N17" s="393">
        <f>SINTESI!N49</f>
        <v>8226742.5333333286</v>
      </c>
      <c r="O17" s="393">
        <f>SINTESI!O49</f>
        <v>11630808.959999999</v>
      </c>
      <c r="P17" s="393"/>
      <c r="Q17" s="392">
        <f>(O17/K17)^(1/5)-1</f>
        <v>-3.7950564603462289</v>
      </c>
    </row>
    <row r="18" spans="1:17" s="387" customFormat="1" x14ac:dyDescent="0.3">
      <c r="A18" s="398" t="s">
        <v>812</v>
      </c>
      <c r="K18" s="397"/>
      <c r="L18" s="396">
        <f>L17/L13</f>
        <v>0.31526636516126283</v>
      </c>
      <c r="M18" s="396">
        <f>M17/M13</f>
        <v>0.33545920594140222</v>
      </c>
      <c r="N18" s="396">
        <f>N17/N13</f>
        <v>0.37324053945282459</v>
      </c>
      <c r="O18" s="396">
        <f>O17/O13</f>
        <v>0.40590787094778041</v>
      </c>
      <c r="P18" s="396"/>
      <c r="Q18" s="395"/>
    </row>
    <row r="19" spans="1:17" x14ac:dyDescent="0.3">
      <c r="A19" s="394" t="s">
        <v>811</v>
      </c>
      <c r="B19" s="338"/>
      <c r="C19" s="338"/>
      <c r="D19" s="338"/>
      <c r="E19" s="338"/>
      <c r="F19" s="338"/>
      <c r="G19" s="338"/>
      <c r="H19" s="338"/>
      <c r="I19" s="338"/>
      <c r="J19" s="354"/>
      <c r="K19" s="393">
        <f>SINTESI!K61</f>
        <v>-68180</v>
      </c>
      <c r="L19" s="393">
        <f>SINTESI!L61</f>
        <v>2919242.4999999991</v>
      </c>
      <c r="M19" s="393">
        <f>SINTESI!M61</f>
        <v>3720857.5999999987</v>
      </c>
      <c r="N19" s="393">
        <f>SINTESI!N61</f>
        <v>5371245.6466666637</v>
      </c>
      <c r="O19" s="393">
        <f>SINTESI!O61</f>
        <v>7583888.8239999991</v>
      </c>
      <c r="P19" s="393"/>
      <c r="Q19" s="392">
        <f>(O19/K19)^(1/5)-1</f>
        <v>-3.565942926055258</v>
      </c>
    </row>
    <row r="20" spans="1:17" s="387" customFormat="1" x14ac:dyDescent="0.3">
      <c r="A20" s="391" t="s">
        <v>810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89"/>
      <c r="L20" s="389">
        <f>L19/L13</f>
        <v>0.20661206304718627</v>
      </c>
      <c r="M20" s="389">
        <f>M19/M13</f>
        <v>0.21945592193888261</v>
      </c>
      <c r="N20" s="389">
        <f>N19/N13</f>
        <v>0.24368899531892918</v>
      </c>
      <c r="O20" s="389">
        <f>O19/O13</f>
        <v>0.26467291971189816</v>
      </c>
      <c r="P20" s="389"/>
      <c r="Q20" s="388"/>
    </row>
    <row r="21" spans="1:17" x14ac:dyDescent="0.3">
      <c r="A21" s="351"/>
      <c r="K21" s="378"/>
      <c r="L21" s="375"/>
      <c r="M21" s="375"/>
      <c r="N21" s="375"/>
      <c r="O21" s="375"/>
      <c r="P21" s="375"/>
    </row>
  </sheetData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A2F0-1BD5-43A4-8E12-576782084AB5}">
  <dimension ref="A1:Q23"/>
  <sheetViews>
    <sheetView zoomScale="125" workbookViewId="0">
      <selection activeCell="H87" sqref="H87"/>
    </sheetView>
  </sheetViews>
  <sheetFormatPr baseColWidth="10" defaultColWidth="11" defaultRowHeight="13.5" outlineLevelRow="1" outlineLevelCol="1" x14ac:dyDescent="0.3"/>
  <cols>
    <col min="1" max="1" width="25.15234375" style="414" customWidth="1"/>
    <col min="2" max="5" width="1.61328125" style="414" hidden="1" customWidth="1" outlineLevel="1"/>
    <col min="6" max="6" width="8.61328125" style="414" hidden="1" customWidth="1" collapsed="1"/>
    <col min="7" max="10" width="8.61328125" style="414" hidden="1" customWidth="1"/>
    <col min="11" max="15" width="12.84375" style="414" customWidth="1"/>
    <col min="16" max="16" width="8.61328125" style="414" customWidth="1"/>
    <col min="17" max="16384" width="11" style="414"/>
  </cols>
  <sheetData>
    <row r="1" spans="1:17" s="410" customFormat="1" ht="13" x14ac:dyDescent="0.25">
      <c r="A1" s="413" t="s">
        <v>822</v>
      </c>
      <c r="B1" s="413"/>
      <c r="C1" s="413"/>
      <c r="D1" s="413"/>
      <c r="E1" s="413"/>
      <c r="F1" s="412">
        <f>SINTESI!J64</f>
        <v>0</v>
      </c>
      <c r="G1" s="412"/>
      <c r="H1" s="412"/>
      <c r="I1" s="412"/>
      <c r="J1" s="412"/>
      <c r="K1" s="412">
        <f>SINTESI!K64</f>
        <v>2025</v>
      </c>
      <c r="L1" s="412">
        <f>SINTESI!L64</f>
        <v>2026</v>
      </c>
      <c r="M1" s="412">
        <f>SINTESI!M64</f>
        <v>2027</v>
      </c>
      <c r="N1" s="412">
        <f>SINTESI!N64</f>
        <v>2028</v>
      </c>
      <c r="O1" s="412">
        <f>SINTESI!O64</f>
        <v>2029</v>
      </c>
      <c r="P1" s="412"/>
      <c r="Q1" s="411"/>
    </row>
    <row r="2" spans="1:17" s="387" customFormat="1" x14ac:dyDescent="0.3">
      <c r="A2" s="435" t="s">
        <v>821</v>
      </c>
      <c r="B2" s="434"/>
      <c r="C2" s="434"/>
      <c r="D2" s="434"/>
      <c r="E2" s="434"/>
      <c r="F2" s="433">
        <f>SINTESI!J65</f>
        <v>0</v>
      </c>
      <c r="G2" s="433"/>
      <c r="H2" s="433"/>
      <c r="I2" s="433"/>
      <c r="J2" s="433"/>
      <c r="K2" s="433">
        <f>SINTESI!K65</f>
        <v>-31600</v>
      </c>
      <c r="L2" s="433">
        <f>SINTESI!L65</f>
        <v>19400</v>
      </c>
      <c r="M2" s="433">
        <f>SINTESI!M65</f>
        <v>63500</v>
      </c>
      <c r="N2" s="433">
        <f>SINTESI!N65</f>
        <v>91533.333333333343</v>
      </c>
      <c r="O2" s="432">
        <f>SINTESI!O65</f>
        <v>104333.33333333334</v>
      </c>
      <c r="P2" s="416"/>
    </row>
    <row r="3" spans="1:17" s="386" customFormat="1" x14ac:dyDescent="0.3">
      <c r="A3" s="426" t="s">
        <v>785</v>
      </c>
      <c r="B3" s="252"/>
      <c r="C3" s="252"/>
      <c r="D3" s="252"/>
      <c r="E3" s="252"/>
      <c r="F3" s="425">
        <f>SINTESI!J66</f>
        <v>0</v>
      </c>
      <c r="G3" s="425"/>
      <c r="H3" s="425"/>
      <c r="I3" s="425"/>
      <c r="J3" s="425"/>
      <c r="K3" s="425">
        <f>SINTESI!K66</f>
        <v>177534.24657534249</v>
      </c>
      <c r="L3" s="425">
        <f>SINTESI!L66</f>
        <v>387098.63013698626</v>
      </c>
      <c r="M3" s="425">
        <f>SINTESI!M66</f>
        <v>464518.35616438347</v>
      </c>
      <c r="N3" s="425">
        <f>SINTESI!N66</f>
        <v>603873.86301369849</v>
      </c>
      <c r="O3" s="424">
        <f>SINTESI!O66</f>
        <v>785036.0219178081</v>
      </c>
      <c r="P3" s="303"/>
    </row>
    <row r="4" spans="1:17" s="387" customFormat="1" x14ac:dyDescent="0.3">
      <c r="A4" s="430" t="s">
        <v>784</v>
      </c>
      <c r="B4" s="429"/>
      <c r="C4" s="429"/>
      <c r="D4" s="429"/>
      <c r="E4" s="429"/>
      <c r="F4" s="428">
        <f>SINTESI!J67</f>
        <v>10000</v>
      </c>
      <c r="G4" s="428"/>
      <c r="H4" s="428"/>
      <c r="I4" s="428"/>
      <c r="J4" s="428"/>
      <c r="K4" s="428">
        <f>SINTESI!K67</f>
        <v>179421.42465753423</v>
      </c>
      <c r="L4" s="428">
        <f>SINTESI!L67</f>
        <v>4467323.9246575329</v>
      </c>
      <c r="M4" s="428">
        <f>SINTESI!M67</f>
        <v>8138523.2890410936</v>
      </c>
      <c r="N4" s="428">
        <f>SINTESI!N67</f>
        <v>13465817.24401826</v>
      </c>
      <c r="O4" s="427">
        <f>SINTESI!O67</f>
        <v>21008680.010374423</v>
      </c>
      <c r="P4" s="416"/>
    </row>
    <row r="5" spans="1:17" s="386" customFormat="1" x14ac:dyDescent="0.3">
      <c r="A5" s="423" t="s">
        <v>783</v>
      </c>
      <c r="B5" s="302"/>
      <c r="C5" s="302"/>
      <c r="D5" s="302"/>
      <c r="E5" s="302"/>
      <c r="F5" s="393">
        <f>SINTESI!J68</f>
        <v>10000</v>
      </c>
      <c r="G5" s="393"/>
      <c r="H5" s="393"/>
      <c r="I5" s="393"/>
      <c r="J5" s="393"/>
      <c r="K5" s="393">
        <f>SINTESI!K68</f>
        <v>325355.67123287672</v>
      </c>
      <c r="L5" s="393">
        <f>SINTESI!L68</f>
        <v>4873822.5547945192</v>
      </c>
      <c r="M5" s="393">
        <f>SINTESI!M68</f>
        <v>8666541.6452054773</v>
      </c>
      <c r="N5" s="393">
        <f>SINTESI!N68</f>
        <v>14161224.440365292</v>
      </c>
      <c r="O5" s="422">
        <f>SINTESI!O68</f>
        <v>21898049.365625564</v>
      </c>
      <c r="P5" s="335"/>
    </row>
    <row r="6" spans="1:17" s="386" customFormat="1" ht="11.15" customHeight="1" x14ac:dyDescent="0.3">
      <c r="A6" s="426"/>
      <c r="B6" s="252"/>
      <c r="C6" s="252"/>
      <c r="D6" s="252"/>
      <c r="E6" s="252"/>
      <c r="F6" s="425"/>
      <c r="G6" s="425"/>
      <c r="H6" s="425"/>
      <c r="I6" s="425"/>
      <c r="J6" s="425"/>
      <c r="K6" s="425"/>
      <c r="L6" s="425"/>
      <c r="M6" s="425"/>
      <c r="N6" s="425"/>
      <c r="O6" s="424"/>
      <c r="P6" s="303"/>
    </row>
    <row r="7" spans="1:17" s="387" customFormat="1" x14ac:dyDescent="0.3">
      <c r="A7" s="430" t="s">
        <v>820</v>
      </c>
      <c r="B7" s="429"/>
      <c r="C7" s="429"/>
      <c r="D7" s="429"/>
      <c r="E7" s="429"/>
      <c r="F7" s="428">
        <f>SINTESI!J70</f>
        <v>0</v>
      </c>
      <c r="G7" s="428"/>
      <c r="H7" s="428"/>
      <c r="I7" s="428"/>
      <c r="J7" s="428"/>
      <c r="K7" s="428">
        <f>SINTESI!K70</f>
        <v>383535.67123287672</v>
      </c>
      <c r="L7" s="428">
        <f>SINTESI!L70</f>
        <v>512760.05479452055</v>
      </c>
      <c r="M7" s="428">
        <f>SINTESI!M70</f>
        <v>584621.54520547925</v>
      </c>
      <c r="N7" s="428">
        <f>SINTESI!N70</f>
        <v>708058.6936986302</v>
      </c>
      <c r="O7" s="427">
        <f>SINTESI!O70</f>
        <v>860994.79495890392</v>
      </c>
      <c r="P7" s="416"/>
    </row>
    <row r="8" spans="1:17" s="386" customFormat="1" x14ac:dyDescent="0.3">
      <c r="A8" s="426" t="s">
        <v>781</v>
      </c>
      <c r="B8" s="252"/>
      <c r="C8" s="252"/>
      <c r="D8" s="252"/>
      <c r="E8" s="252"/>
      <c r="F8" s="425">
        <f>SINTESI!J71</f>
        <v>0</v>
      </c>
      <c r="G8" s="425"/>
      <c r="H8" s="425"/>
      <c r="I8" s="425"/>
      <c r="J8" s="425"/>
      <c r="K8" s="425">
        <f>SINTESI!K71</f>
        <v>0</v>
      </c>
      <c r="L8" s="425">
        <f>SINTESI!L71</f>
        <v>0</v>
      </c>
      <c r="M8" s="425">
        <f>SINTESI!M71</f>
        <v>0</v>
      </c>
      <c r="N8" s="425">
        <f>SINTESI!N71</f>
        <v>0</v>
      </c>
      <c r="O8" s="424">
        <f>SINTESI!O71</f>
        <v>0</v>
      </c>
      <c r="P8" s="303"/>
    </row>
    <row r="9" spans="1:17" s="387" customFormat="1" x14ac:dyDescent="0.3">
      <c r="A9" s="430" t="s">
        <v>770</v>
      </c>
      <c r="B9" s="429"/>
      <c r="C9" s="429"/>
      <c r="D9" s="429"/>
      <c r="E9" s="429"/>
      <c r="F9" s="428">
        <f>SINTESI!J72</f>
        <v>0</v>
      </c>
      <c r="G9" s="428"/>
      <c r="H9" s="428"/>
      <c r="I9" s="428"/>
      <c r="J9" s="428"/>
      <c r="K9" s="428">
        <f>SINTESI!K72</f>
        <v>0</v>
      </c>
      <c r="L9" s="428">
        <f>SINTESI!L72</f>
        <v>0</v>
      </c>
      <c r="M9" s="428">
        <f>SINTESI!M72</f>
        <v>0</v>
      </c>
      <c r="N9" s="428">
        <f>SINTESI!N72</f>
        <v>0</v>
      </c>
      <c r="O9" s="427">
        <f>SINTESI!O72</f>
        <v>0</v>
      </c>
      <c r="P9" s="416"/>
    </row>
    <row r="10" spans="1:17" s="386" customFormat="1" x14ac:dyDescent="0.3">
      <c r="A10" s="426" t="s">
        <v>780</v>
      </c>
      <c r="B10" s="252"/>
      <c r="C10" s="252"/>
      <c r="D10" s="252"/>
      <c r="E10" s="252"/>
      <c r="F10" s="425">
        <f>SINTESI!J73</f>
        <v>10000</v>
      </c>
      <c r="G10" s="425"/>
      <c r="H10" s="425"/>
      <c r="I10" s="425"/>
      <c r="J10" s="425"/>
      <c r="K10" s="345">
        <f>SINTESI!K73</f>
        <v>10000</v>
      </c>
      <c r="L10" s="345">
        <f>SINTESI!L73</f>
        <v>1510000</v>
      </c>
      <c r="M10" s="345">
        <f>SINTESI!M73</f>
        <v>1510000</v>
      </c>
      <c r="N10" s="345">
        <f>SINTESI!N73</f>
        <v>1510000</v>
      </c>
      <c r="O10" s="431">
        <f>SINTESI!O73</f>
        <v>1510000</v>
      </c>
      <c r="P10" s="345"/>
    </row>
    <row r="11" spans="1:17" s="387" customFormat="1" x14ac:dyDescent="0.3">
      <c r="A11" s="430" t="s">
        <v>779</v>
      </c>
      <c r="B11" s="429"/>
      <c r="C11" s="429"/>
      <c r="D11" s="429"/>
      <c r="E11" s="429"/>
      <c r="F11" s="428">
        <f>SINTESI!J74</f>
        <v>0</v>
      </c>
      <c r="G11" s="428"/>
      <c r="H11" s="428"/>
      <c r="I11" s="428"/>
      <c r="J11" s="428"/>
      <c r="K11" s="428">
        <f>SINTESI!K74</f>
        <v>0</v>
      </c>
      <c r="L11" s="428">
        <f>SINTESI!L74</f>
        <v>-68180</v>
      </c>
      <c r="M11" s="428">
        <f>SINTESI!M74</f>
        <v>2851062.4999999991</v>
      </c>
      <c r="N11" s="428">
        <f>SINTESI!N74</f>
        <v>6571920.0999999978</v>
      </c>
      <c r="O11" s="427">
        <f>SINTESI!O74</f>
        <v>11943165.746666662</v>
      </c>
      <c r="P11" s="416"/>
    </row>
    <row r="12" spans="1:17" s="386" customFormat="1" x14ac:dyDescent="0.3">
      <c r="A12" s="426" t="s">
        <v>778</v>
      </c>
      <c r="B12" s="252"/>
      <c r="C12" s="252"/>
      <c r="D12" s="252"/>
      <c r="E12" s="252"/>
      <c r="F12" s="425">
        <f>SINTESI!J75</f>
        <v>0</v>
      </c>
      <c r="G12" s="425"/>
      <c r="H12" s="425"/>
      <c r="I12" s="425"/>
      <c r="J12" s="425"/>
      <c r="K12" s="425">
        <f>SINTESI!K75</f>
        <v>-68180</v>
      </c>
      <c r="L12" s="425">
        <f>SINTESI!L75</f>
        <v>2919242.4999999991</v>
      </c>
      <c r="M12" s="425">
        <f>SINTESI!M75</f>
        <v>3720857.5999999987</v>
      </c>
      <c r="N12" s="425">
        <f>SINTESI!N75</f>
        <v>5371245.6466666637</v>
      </c>
      <c r="O12" s="424">
        <f>SINTESI!O75</f>
        <v>7583888.8239999991</v>
      </c>
      <c r="P12" s="303"/>
    </row>
    <row r="13" spans="1:17" s="386" customFormat="1" x14ac:dyDescent="0.3">
      <c r="A13" s="423" t="s">
        <v>777</v>
      </c>
      <c r="B13" s="302"/>
      <c r="C13" s="302"/>
      <c r="D13" s="302"/>
      <c r="E13" s="302"/>
      <c r="F13" s="393">
        <f>SINTESI!J76</f>
        <v>10000</v>
      </c>
      <c r="G13" s="393"/>
      <c r="H13" s="393"/>
      <c r="I13" s="393"/>
      <c r="J13" s="393"/>
      <c r="K13" s="393">
        <f>SINTESI!K76</f>
        <v>-58180</v>
      </c>
      <c r="L13" s="393">
        <f>SINTESI!L76</f>
        <v>4361062.4999999991</v>
      </c>
      <c r="M13" s="393">
        <f>SINTESI!M76</f>
        <v>8081920.0999999978</v>
      </c>
      <c r="N13" s="393">
        <f>SINTESI!N76</f>
        <v>13453165.746666662</v>
      </c>
      <c r="O13" s="422">
        <f>SINTESI!O76</f>
        <v>21037054.570666663</v>
      </c>
      <c r="P13" s="335"/>
    </row>
    <row r="14" spans="1:17" s="386" customFormat="1" x14ac:dyDescent="0.3">
      <c r="A14" s="421" t="s">
        <v>776</v>
      </c>
      <c r="B14" s="420"/>
      <c r="C14" s="420"/>
      <c r="D14" s="420"/>
      <c r="E14" s="420"/>
      <c r="F14" s="419">
        <f>SINTESI!J77</f>
        <v>10000</v>
      </c>
      <c r="G14" s="419"/>
      <c r="H14" s="419"/>
      <c r="I14" s="419"/>
      <c r="J14" s="419"/>
      <c r="K14" s="419">
        <f>SINTESI!K77</f>
        <v>325355.67123287672</v>
      </c>
      <c r="L14" s="419">
        <f>SINTESI!L77</f>
        <v>4873822.5547945192</v>
      </c>
      <c r="M14" s="419">
        <f>SINTESI!M77</f>
        <v>8666541.6452054773</v>
      </c>
      <c r="N14" s="419">
        <f>SINTESI!N77</f>
        <v>14161224.440365292</v>
      </c>
      <c r="O14" s="418">
        <f>SINTESI!O77</f>
        <v>21898049.365625568</v>
      </c>
      <c r="P14" s="303"/>
    </row>
    <row r="15" spans="1:17" s="386" customFormat="1" x14ac:dyDescent="0.3">
      <c r="A15" s="302"/>
      <c r="B15" s="343"/>
      <c r="C15" s="343"/>
      <c r="D15" s="343"/>
      <c r="E15" s="34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</row>
    <row r="16" spans="1:17" s="410" customFormat="1" ht="13" hidden="1" outlineLevel="1" x14ac:dyDescent="0.25">
      <c r="A16" s="413" t="s">
        <v>754</v>
      </c>
      <c r="B16" s="413"/>
      <c r="C16" s="413"/>
      <c r="D16" s="413"/>
      <c r="E16" s="413"/>
      <c r="F16" s="412" t="e">
        <f>SINTESI!#REF!</f>
        <v>#REF!</v>
      </c>
      <c r="G16" s="412"/>
      <c r="H16" s="412"/>
      <c r="I16" s="412"/>
      <c r="J16" s="412"/>
      <c r="K16" s="412">
        <f>+K1</f>
        <v>2025</v>
      </c>
      <c r="L16" s="412">
        <f>+L1</f>
        <v>2026</v>
      </c>
      <c r="M16" s="412">
        <f>+M1</f>
        <v>2027</v>
      </c>
      <c r="N16" s="412">
        <f>+N1</f>
        <v>2028</v>
      </c>
      <c r="O16" s="412">
        <f>+O1</f>
        <v>2029</v>
      </c>
      <c r="P16" s="412"/>
      <c r="Q16" s="411"/>
    </row>
    <row r="17" spans="1:16" s="386" customFormat="1" ht="1" hidden="1" customHeight="1" outlineLevel="1" x14ac:dyDescent="0.3">
      <c r="A17" s="289"/>
      <c r="B17" s="289"/>
      <c r="C17" s="289"/>
      <c r="D17" s="289"/>
      <c r="E17" s="289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</row>
    <row r="18" spans="1:16" s="387" customFormat="1" hidden="1" outlineLevel="1" x14ac:dyDescent="0.3">
      <c r="A18" s="417" t="s">
        <v>819</v>
      </c>
      <c r="B18" s="417"/>
      <c r="C18" s="417"/>
      <c r="D18" s="417"/>
      <c r="E18" s="417"/>
      <c r="F18" s="416">
        <f>SINTESI!J108</f>
        <v>0</v>
      </c>
      <c r="G18" s="416"/>
      <c r="H18" s="416"/>
      <c r="I18" s="416"/>
      <c r="J18" s="416"/>
      <c r="K18" s="415">
        <f>SINTESI!K108</f>
        <v>177534.24657534249</v>
      </c>
      <c r="L18" s="415">
        <f>SINTESI!L108</f>
        <v>387098.63013698626</v>
      </c>
      <c r="M18" s="415">
        <f>SINTESI!M108</f>
        <v>464518.35616438347</v>
      </c>
      <c r="N18" s="415">
        <f>SINTESI!N108</f>
        <v>603873.86301369849</v>
      </c>
      <c r="O18" s="415">
        <f>SINTESI!O108</f>
        <v>785036.0219178081</v>
      </c>
      <c r="P18" s="415"/>
    </row>
    <row r="19" spans="1:16" s="386" customFormat="1" hidden="1" outlineLevel="1" x14ac:dyDescent="0.3">
      <c r="A19" s="289" t="s">
        <v>818</v>
      </c>
      <c r="B19" s="289"/>
      <c r="C19" s="289"/>
      <c r="D19" s="289"/>
      <c r="E19" s="289"/>
      <c r="F19" s="303">
        <f>SINTESI!J109</f>
        <v>0</v>
      </c>
      <c r="G19" s="303"/>
      <c r="H19" s="303"/>
      <c r="I19" s="303"/>
      <c r="J19" s="303"/>
      <c r="K19" s="290">
        <f>SINTESI!K109</f>
        <v>383535.67123287672</v>
      </c>
      <c r="L19" s="290">
        <f>SINTESI!L109</f>
        <v>512760.05479452055</v>
      </c>
      <c r="M19" s="290">
        <f>SINTESI!M109</f>
        <v>584621.54520547925</v>
      </c>
      <c r="N19" s="290">
        <f>SINTESI!N109</f>
        <v>708058.6936986302</v>
      </c>
      <c r="O19" s="290">
        <f>SINTESI!O109</f>
        <v>860994.79495890392</v>
      </c>
      <c r="P19" s="290"/>
    </row>
    <row r="20" spans="1:16" s="386" customFormat="1" hidden="1" outlineLevel="1" x14ac:dyDescent="0.3">
      <c r="A20" s="313" t="s">
        <v>754</v>
      </c>
      <c r="B20" s="313"/>
      <c r="C20" s="313"/>
      <c r="D20" s="313"/>
      <c r="E20" s="313"/>
      <c r="F20" s="303">
        <f>SINTESI!J110</f>
        <v>0</v>
      </c>
      <c r="G20" s="303"/>
      <c r="H20" s="303"/>
      <c r="I20" s="303"/>
      <c r="J20" s="303"/>
      <c r="K20" s="312">
        <f>SINTESI!K110</f>
        <v>206001.42465753423</v>
      </c>
      <c r="L20" s="312">
        <f>SINTESI!L110</f>
        <v>125661.42465753428</v>
      </c>
      <c r="M20" s="312">
        <f>SINTESI!M110</f>
        <v>120103.18904109579</v>
      </c>
      <c r="N20" s="312">
        <f>SINTESI!N110</f>
        <v>104184.83068493172</v>
      </c>
      <c r="O20" s="312">
        <f>SINTESI!O110</f>
        <v>75958.773041095817</v>
      </c>
      <c r="P20" s="312"/>
    </row>
    <row r="21" spans="1:16" s="386" customFormat="1" hidden="1" outlineLevel="1" x14ac:dyDescent="0.3"/>
    <row r="22" spans="1:16" s="386" customFormat="1" hidden="1" outlineLevel="1" x14ac:dyDescent="0.3"/>
    <row r="23" spans="1:16" collapsed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42B3-E71A-400A-A9D1-346237F7C1DD}">
  <dimension ref="A1:Q15"/>
  <sheetViews>
    <sheetView tabSelected="1" zoomScale="130" zoomScaleNormal="130" workbookViewId="0">
      <selection activeCell="K1" sqref="K1"/>
    </sheetView>
  </sheetViews>
  <sheetFormatPr baseColWidth="10" defaultColWidth="11" defaultRowHeight="13.5" outlineLevelCol="1" x14ac:dyDescent="0.3"/>
  <cols>
    <col min="1" max="1" width="22.61328125" style="414" customWidth="1"/>
    <col min="2" max="5" width="1.4609375" style="414" hidden="1" customWidth="1" outlineLevel="1"/>
    <col min="6" max="6" width="8.84375" style="414" hidden="1" customWidth="1" collapsed="1"/>
    <col min="7" max="10" width="8.84375" style="414" hidden="1" customWidth="1"/>
    <col min="11" max="15" width="12.15234375" style="414" customWidth="1"/>
    <col min="16" max="16" width="8.84375" style="414" customWidth="1"/>
    <col min="17" max="16384" width="11" style="414"/>
  </cols>
  <sheetData>
    <row r="1" spans="1:17" s="410" customFormat="1" ht="13" x14ac:dyDescent="0.25">
      <c r="A1" s="413" t="s">
        <v>823</v>
      </c>
      <c r="B1" s="413"/>
      <c r="C1" s="413"/>
      <c r="D1" s="413"/>
      <c r="E1" s="413"/>
      <c r="F1" s="412">
        <f>SINTESI!J3</f>
        <v>0</v>
      </c>
      <c r="G1" s="412"/>
      <c r="H1" s="412"/>
      <c r="I1" s="412"/>
      <c r="J1" s="412"/>
      <c r="K1" s="412">
        <f>SINTESI!K3</f>
        <v>2025</v>
      </c>
      <c r="L1" s="412">
        <f>SINTESI!L3</f>
        <v>2026</v>
      </c>
      <c r="M1" s="412">
        <f>SINTESI!M3</f>
        <v>2027</v>
      </c>
      <c r="N1" s="412">
        <f>SINTESI!N3</f>
        <v>2028</v>
      </c>
      <c r="O1" s="412">
        <f>SINTESI!O3</f>
        <v>2029</v>
      </c>
      <c r="P1" s="412"/>
      <c r="Q1" s="411"/>
    </row>
    <row r="2" spans="1:17" s="417" customFormat="1" ht="12.5" x14ac:dyDescent="0.25">
      <c r="A2" s="435" t="s">
        <v>774</v>
      </c>
      <c r="B2" s="434"/>
      <c r="C2" s="434"/>
      <c r="D2" s="434"/>
      <c r="E2" s="434"/>
      <c r="F2" s="453"/>
      <c r="G2" s="453"/>
      <c r="H2" s="453"/>
      <c r="I2" s="453"/>
      <c r="J2" s="453"/>
      <c r="K2" s="433">
        <f>SINTESI!K81</f>
        <v>-36580</v>
      </c>
      <c r="L2" s="433">
        <f>SINTESI!L81</f>
        <v>4512929.9999999981</v>
      </c>
      <c r="M2" s="433">
        <f>SINTESI!M81</f>
        <v>5775583.9999999981</v>
      </c>
      <c r="N2" s="433">
        <f>SINTESI!N81</f>
        <v>8350709.1999999955</v>
      </c>
      <c r="O2" s="432">
        <f>SINTESI!O81</f>
        <v>11790008.959999999</v>
      </c>
      <c r="P2" s="416"/>
      <c r="Q2" s="415"/>
    </row>
    <row r="3" spans="1:17" s="289" customFormat="1" ht="12.5" x14ac:dyDescent="0.25">
      <c r="A3" s="426" t="s">
        <v>624</v>
      </c>
      <c r="B3" s="252"/>
      <c r="C3" s="252"/>
      <c r="D3" s="252"/>
      <c r="E3" s="252"/>
      <c r="F3" s="448"/>
      <c r="G3" s="448"/>
      <c r="H3" s="448"/>
      <c r="I3" s="448"/>
      <c r="J3" s="448"/>
      <c r="K3" s="425">
        <f>SINTESI!K82</f>
        <v>0</v>
      </c>
      <c r="L3" s="425">
        <f>SINTESI!L82</f>
        <v>-109500</v>
      </c>
      <c r="M3" s="425">
        <f>SINTESI!M82</f>
        <v>-132000</v>
      </c>
      <c r="N3" s="425">
        <f>SINTESI!N82</f>
        <v>-152000</v>
      </c>
      <c r="O3" s="424">
        <f>SINTESI!O82</f>
        <v>-172000</v>
      </c>
      <c r="P3" s="303"/>
      <c r="Q3" s="326"/>
    </row>
    <row r="4" spans="1:17" s="417" customFormat="1" ht="13.5" customHeight="1" x14ac:dyDescent="0.25">
      <c r="A4" s="430" t="s">
        <v>773</v>
      </c>
      <c r="B4" s="429"/>
      <c r="C4" s="429"/>
      <c r="D4" s="429"/>
      <c r="E4" s="429"/>
      <c r="F4" s="452"/>
      <c r="G4" s="452"/>
      <c r="H4" s="452"/>
      <c r="I4" s="452"/>
      <c r="J4" s="452"/>
      <c r="K4" s="428">
        <f>SINTESI!K83</f>
        <v>206001.42465753423</v>
      </c>
      <c r="L4" s="428">
        <f>SINTESI!L83</f>
        <v>-80339.999999999942</v>
      </c>
      <c r="M4" s="428">
        <f>SINTESI!M83</f>
        <v>-5558.2356164384983</v>
      </c>
      <c r="N4" s="428">
        <f>SINTESI!N83</f>
        <v>-15918.35835616407</v>
      </c>
      <c r="O4" s="427">
        <f>SINTESI!O83</f>
        <v>-28226.057643835898</v>
      </c>
      <c r="P4" s="416"/>
      <c r="Q4" s="450"/>
    </row>
    <row r="5" spans="1:17" s="438" customFormat="1" ht="13" x14ac:dyDescent="0.3">
      <c r="A5" s="440" t="s">
        <v>752</v>
      </c>
      <c r="K5" s="438">
        <f>SINTESI!K84</f>
        <v>169421.42465753423</v>
      </c>
      <c r="L5" s="438">
        <f>SINTESI!L84</f>
        <v>4323089.9999999981</v>
      </c>
      <c r="M5" s="438">
        <f>SINTESI!M84</f>
        <v>5638025.76438356</v>
      </c>
      <c r="N5" s="438">
        <f>SINTESI!N84</f>
        <v>8182790.8416438317</v>
      </c>
      <c r="O5" s="439">
        <f>SINTESI!O84</f>
        <v>11589782.902356163</v>
      </c>
    </row>
    <row r="6" spans="1:17" s="417" customFormat="1" ht="12.5" x14ac:dyDescent="0.25">
      <c r="A6" s="430" t="s">
        <v>772</v>
      </c>
      <c r="B6" s="429"/>
      <c r="C6" s="429"/>
      <c r="D6" s="429"/>
      <c r="E6" s="429"/>
      <c r="F6" s="428"/>
      <c r="G6" s="428"/>
      <c r="H6" s="428"/>
      <c r="I6" s="428"/>
      <c r="J6" s="428"/>
      <c r="K6" s="428">
        <f>SINTESI!K85</f>
        <v>0</v>
      </c>
      <c r="L6" s="428">
        <f>SINTESI!L85</f>
        <v>-1535187.4999999993</v>
      </c>
      <c r="M6" s="428">
        <f>SINTESI!M85</f>
        <v>-1966826.3999999992</v>
      </c>
      <c r="N6" s="428">
        <f>SINTESI!N85</f>
        <v>-2855496.8866666649</v>
      </c>
      <c r="O6" s="427">
        <f>SINTESI!O85</f>
        <v>-4046920.1359999995</v>
      </c>
      <c r="P6" s="416"/>
      <c r="Q6" s="451"/>
    </row>
    <row r="7" spans="1:17" s="289" customFormat="1" ht="12.5" x14ac:dyDescent="0.25">
      <c r="A7" s="426" t="s">
        <v>771</v>
      </c>
      <c r="B7" s="252"/>
      <c r="C7" s="252"/>
      <c r="D7" s="252"/>
      <c r="E7" s="252"/>
      <c r="F7" s="425"/>
      <c r="G7" s="425"/>
      <c r="H7" s="425"/>
      <c r="I7" s="425"/>
      <c r="J7" s="425"/>
      <c r="K7" s="447">
        <f>SINTESI!K86</f>
        <v>0</v>
      </c>
      <c r="L7" s="447">
        <f>SINTESI!L86</f>
        <v>0</v>
      </c>
      <c r="M7" s="447">
        <f>SINTESI!M86</f>
        <v>0</v>
      </c>
      <c r="N7" s="447">
        <f>SINTESI!N86</f>
        <v>0</v>
      </c>
      <c r="O7" s="446">
        <f>SINTESI!O86</f>
        <v>0</v>
      </c>
      <c r="P7" s="304"/>
      <c r="Q7" s="326"/>
    </row>
    <row r="8" spans="1:17" s="417" customFormat="1" ht="12.5" x14ac:dyDescent="0.25">
      <c r="A8" s="430" t="s">
        <v>770</v>
      </c>
      <c r="B8" s="429"/>
      <c r="C8" s="429"/>
      <c r="D8" s="429"/>
      <c r="E8" s="429"/>
      <c r="F8" s="428"/>
      <c r="G8" s="428"/>
      <c r="H8" s="428"/>
      <c r="I8" s="428"/>
      <c r="J8" s="428"/>
      <c r="K8" s="443">
        <f>SINTESI!K87</f>
        <v>0</v>
      </c>
      <c r="L8" s="443">
        <f>SINTESI!L87</f>
        <v>0</v>
      </c>
      <c r="M8" s="443">
        <f>SINTESI!M87</f>
        <v>0</v>
      </c>
      <c r="N8" s="443">
        <f>SINTESI!N87</f>
        <v>0</v>
      </c>
      <c r="O8" s="442">
        <f>SINTESI!O87</f>
        <v>0</v>
      </c>
      <c r="P8" s="441"/>
      <c r="Q8" s="450"/>
    </row>
    <row r="9" spans="1:17" s="386" customFormat="1" x14ac:dyDescent="0.3">
      <c r="A9" s="405" t="s">
        <v>769</v>
      </c>
      <c r="B9" s="329"/>
      <c r="C9" s="329"/>
      <c r="D9" s="329"/>
      <c r="E9" s="329"/>
      <c r="F9" s="448"/>
      <c r="G9" s="448"/>
      <c r="H9" s="448"/>
      <c r="I9" s="448"/>
      <c r="J9" s="448"/>
      <c r="K9" s="447">
        <f>SINTESI!K88</f>
        <v>0</v>
      </c>
      <c r="L9" s="447">
        <f>SINTESI!L88</f>
        <v>0</v>
      </c>
      <c r="M9" s="447">
        <f>SINTESI!M88</f>
        <v>0</v>
      </c>
      <c r="N9" s="447">
        <f>SINTESI!N88</f>
        <v>0</v>
      </c>
      <c r="O9" s="446">
        <f>SINTESI!O88</f>
        <v>0</v>
      </c>
      <c r="P9" s="304"/>
    </row>
    <row r="10" spans="1:17" s="387" customFormat="1" x14ac:dyDescent="0.3">
      <c r="A10" s="404" t="s">
        <v>768</v>
      </c>
      <c r="B10" s="449"/>
      <c r="C10" s="449"/>
      <c r="D10" s="449"/>
      <c r="E10" s="449"/>
      <c r="F10" s="444"/>
      <c r="G10" s="444"/>
      <c r="H10" s="444"/>
      <c r="I10" s="444"/>
      <c r="J10" s="444"/>
      <c r="K10" s="443">
        <f>SINTESI!K89</f>
        <v>0</v>
      </c>
      <c r="L10" s="443">
        <f>SINTESI!L89</f>
        <v>0</v>
      </c>
      <c r="M10" s="443">
        <f>SINTESI!M89</f>
        <v>0</v>
      </c>
      <c r="N10" s="443">
        <f>SINTESI!N89</f>
        <v>0</v>
      </c>
      <c r="O10" s="442">
        <f>SINTESI!O89</f>
        <v>0</v>
      </c>
      <c r="P10" s="441"/>
    </row>
    <row r="11" spans="1:17" s="386" customFormat="1" x14ac:dyDescent="0.3">
      <c r="A11" s="426" t="s">
        <v>767</v>
      </c>
      <c r="B11" s="252"/>
      <c r="C11" s="252"/>
      <c r="D11" s="252"/>
      <c r="E11" s="252"/>
      <c r="F11" s="448"/>
      <c r="G11" s="448"/>
      <c r="H11" s="448"/>
      <c r="I11" s="448"/>
      <c r="J11" s="448"/>
      <c r="K11" s="447">
        <f>SINTESI!K90</f>
        <v>0</v>
      </c>
      <c r="L11" s="447">
        <f>SINTESI!L90</f>
        <v>1500000</v>
      </c>
      <c r="M11" s="447">
        <f>SINTESI!M90</f>
        <v>0</v>
      </c>
      <c r="N11" s="447">
        <f>SINTESI!N90</f>
        <v>0</v>
      </c>
      <c r="O11" s="446">
        <f>SINTESI!O90</f>
        <v>0</v>
      </c>
      <c r="P11" s="304"/>
    </row>
    <row r="12" spans="1:17" s="387" customFormat="1" x14ac:dyDescent="0.3">
      <c r="A12" s="445" t="s">
        <v>766</v>
      </c>
      <c r="B12" s="429"/>
      <c r="C12" s="429"/>
      <c r="D12" s="429"/>
      <c r="E12" s="429"/>
      <c r="F12" s="444"/>
      <c r="G12" s="444"/>
      <c r="H12" s="444"/>
      <c r="I12" s="444"/>
      <c r="J12" s="444"/>
      <c r="K12" s="443">
        <f>SINTESI!K91</f>
        <v>0</v>
      </c>
      <c r="L12" s="443">
        <f>SINTESI!L91</f>
        <v>0</v>
      </c>
      <c r="M12" s="443">
        <f>SINTESI!M91</f>
        <v>0</v>
      </c>
      <c r="N12" s="443">
        <f>SINTESI!N91</f>
        <v>0</v>
      </c>
      <c r="O12" s="442">
        <f>SINTESI!O91</f>
        <v>0</v>
      </c>
      <c r="P12" s="441"/>
    </row>
    <row r="13" spans="1:17" s="438" customFormat="1" ht="13" x14ac:dyDescent="0.3">
      <c r="A13" s="440" t="s">
        <v>765</v>
      </c>
      <c r="K13" s="438">
        <f>SINTESI!K92</f>
        <v>169421.42465753423</v>
      </c>
      <c r="L13" s="438">
        <f>SINTESI!L92</f>
        <v>4287902.4999999991</v>
      </c>
      <c r="M13" s="438">
        <f>SINTESI!M92</f>
        <v>3671199.3643835606</v>
      </c>
      <c r="N13" s="438">
        <f>SINTESI!N92</f>
        <v>5327293.9549771668</v>
      </c>
      <c r="O13" s="439">
        <f>SINTESI!O92</f>
        <v>7542862.7663561627</v>
      </c>
    </row>
    <row r="14" spans="1:17" s="387" customFormat="1" x14ac:dyDescent="0.3">
      <c r="A14" s="430" t="s">
        <v>764</v>
      </c>
      <c r="B14" s="429"/>
      <c r="C14" s="429"/>
      <c r="D14" s="429"/>
      <c r="E14" s="429"/>
      <c r="F14" s="428"/>
      <c r="G14" s="428"/>
      <c r="H14" s="428"/>
      <c r="I14" s="428"/>
      <c r="J14" s="428"/>
      <c r="K14" s="428">
        <f>SINTESI!K93</f>
        <v>10000</v>
      </c>
      <c r="L14" s="428">
        <f>SINTESI!L93</f>
        <v>179421.42465753423</v>
      </c>
      <c r="M14" s="428">
        <f>SINTESI!M93</f>
        <v>4467323.9246575329</v>
      </c>
      <c r="N14" s="428">
        <f>SINTESI!N93</f>
        <v>8138523.2890410936</v>
      </c>
      <c r="O14" s="427">
        <f>SINTESI!O93</f>
        <v>13465817.24401826</v>
      </c>
      <c r="P14" s="416"/>
    </row>
    <row r="15" spans="1:17" s="386" customFormat="1" x14ac:dyDescent="0.3">
      <c r="A15" s="437" t="s">
        <v>763</v>
      </c>
      <c r="B15" s="436"/>
      <c r="C15" s="436"/>
      <c r="D15" s="436"/>
      <c r="E15" s="436"/>
      <c r="F15" s="419"/>
      <c r="G15" s="419"/>
      <c r="H15" s="419"/>
      <c r="I15" s="419"/>
      <c r="J15" s="419"/>
      <c r="K15" s="419">
        <f>SINTESI!K94</f>
        <v>179421.42465753423</v>
      </c>
      <c r="L15" s="419">
        <f>SINTESI!L94</f>
        <v>4467323.9246575329</v>
      </c>
      <c r="M15" s="419">
        <f>SINTESI!M94</f>
        <v>8138523.2890410936</v>
      </c>
      <c r="N15" s="419">
        <f>SINTESI!N94</f>
        <v>13465817.24401826</v>
      </c>
      <c r="O15" s="418">
        <f>SINTESI!O94</f>
        <v>21008680.010374423</v>
      </c>
      <c r="P15" s="30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/>
  </sheetViews>
  <sheetFormatPr baseColWidth="10" defaultColWidth="11.23046875" defaultRowHeight="15" customHeight="1" outlineLevelRow="1" outlineLevelCol="1" x14ac:dyDescent="0.3"/>
  <cols>
    <col min="1" max="1" width="61.4609375" customWidth="1"/>
    <col min="2" max="2" width="14.07421875" hidden="1" customWidth="1" outlineLevel="1"/>
    <col min="3" max="3" width="8.3046875" hidden="1" customWidth="1" outlineLevel="1"/>
    <col min="4" max="4" width="9.07421875" hidden="1" customWidth="1" outlineLevel="1"/>
    <col min="5" max="5" width="15.69140625" hidden="1" customWidth="1" outlineLevel="1"/>
    <col min="6" max="7" width="19.07421875" hidden="1" customWidth="1" outlineLevel="1"/>
    <col min="8" max="8" width="14.3046875" customWidth="1"/>
    <col min="9" max="9" width="13.07421875" customWidth="1"/>
    <col min="10" max="10" width="15.3046875" customWidth="1"/>
    <col min="11" max="11" width="14.3046875" customWidth="1"/>
    <col min="12" max="13" width="13.3046875" customWidth="1"/>
    <col min="14" max="26" width="6.07421875" customWidth="1"/>
  </cols>
  <sheetData>
    <row r="1" spans="1:26" ht="13.5" customHeight="1" x14ac:dyDescent="0.3">
      <c r="A1" s="35"/>
      <c r="B1" s="35"/>
      <c r="C1" s="35"/>
      <c r="D1" s="35"/>
      <c r="E1" s="36"/>
      <c r="F1" s="36"/>
      <c r="G1" s="36" t="s">
        <v>80</v>
      </c>
      <c r="H1" s="37" t="s">
        <v>81</v>
      </c>
      <c r="I1" s="37" t="s">
        <v>82</v>
      </c>
      <c r="J1" s="37" t="s">
        <v>83</v>
      </c>
      <c r="K1" s="37" t="s">
        <v>84</v>
      </c>
      <c r="L1" s="37" t="s">
        <v>85</v>
      </c>
      <c r="M1" s="37" t="s">
        <v>86</v>
      </c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3.5" customHeight="1" x14ac:dyDescent="0.3">
      <c r="A2" s="38" t="s">
        <v>87</v>
      </c>
      <c r="B2" s="39" t="s">
        <v>88</v>
      </c>
      <c r="C2" s="40"/>
      <c r="D2" s="40" t="s">
        <v>89</v>
      </c>
      <c r="E2" s="39" t="s">
        <v>90</v>
      </c>
      <c r="F2" s="39" t="s">
        <v>91</v>
      </c>
      <c r="G2" s="39">
        <v>2021</v>
      </c>
      <c r="H2" s="41">
        <v>2022</v>
      </c>
      <c r="I2" s="41">
        <f t="shared" ref="I2:M2" si="0">H2+1</f>
        <v>2023</v>
      </c>
      <c r="J2" s="41">
        <f t="shared" si="0"/>
        <v>2024</v>
      </c>
      <c r="K2" s="41">
        <f t="shared" si="0"/>
        <v>2025</v>
      </c>
      <c r="L2" s="41">
        <f t="shared" si="0"/>
        <v>2026</v>
      </c>
      <c r="M2" s="41">
        <f t="shared" si="0"/>
        <v>2027</v>
      </c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 customHeight="1" x14ac:dyDescent="0.3">
      <c r="A3" s="43"/>
      <c r="B3" s="43"/>
      <c r="C3" s="43"/>
      <c r="D3" s="43"/>
      <c r="E3" s="44"/>
      <c r="F3" s="45"/>
      <c r="G3" s="45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3.5" customHeight="1" x14ac:dyDescent="0.3">
      <c r="A4" s="47" t="s">
        <v>92</v>
      </c>
      <c r="B4" s="44">
        <v>135000</v>
      </c>
      <c r="C4" s="47"/>
      <c r="D4" s="47" t="s">
        <v>93</v>
      </c>
      <c r="E4" s="48">
        <v>0.1</v>
      </c>
      <c r="F4" s="49">
        <v>3.5000000000000003E-2</v>
      </c>
      <c r="G4" s="50"/>
      <c r="H4" s="51">
        <f t="shared" ref="H4:H5" si="1">B4*F4</f>
        <v>4725</v>
      </c>
      <c r="I4" s="51">
        <f t="shared" ref="I4:M4" si="2">H4*$E$5+H4</f>
        <v>5041.5749999999998</v>
      </c>
      <c r="J4" s="51">
        <f t="shared" si="2"/>
        <v>5379.3605250000001</v>
      </c>
      <c r="K4" s="51">
        <f t="shared" si="2"/>
        <v>5739.7776801749997</v>
      </c>
      <c r="L4" s="51">
        <f t="shared" si="2"/>
        <v>6124.3427847467246</v>
      </c>
      <c r="M4" s="51">
        <f t="shared" si="2"/>
        <v>6534.6737513247554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3.5" customHeight="1" x14ac:dyDescent="0.3">
      <c r="A5" s="47" t="s">
        <v>94</v>
      </c>
      <c r="B5" s="44">
        <v>2107000</v>
      </c>
      <c r="C5" s="47"/>
      <c r="D5" s="47" t="s">
        <v>93</v>
      </c>
      <c r="E5" s="48">
        <v>6.7000000000000004E-2</v>
      </c>
      <c r="F5" s="49">
        <v>2E-3</v>
      </c>
      <c r="G5" s="50"/>
      <c r="H5" s="51">
        <f t="shared" si="1"/>
        <v>4214</v>
      </c>
      <c r="I5" s="51">
        <f t="shared" ref="I5:M5" si="3">H5*$E$5+H5</f>
        <v>4496.3379999999997</v>
      </c>
      <c r="J5" s="51">
        <f t="shared" si="3"/>
        <v>4797.5926460000001</v>
      </c>
      <c r="K5" s="51">
        <f t="shared" si="3"/>
        <v>5119.0313532820001</v>
      </c>
      <c r="L5" s="51">
        <f t="shared" si="3"/>
        <v>5462.0064539518944</v>
      </c>
      <c r="M5" s="51">
        <f t="shared" si="3"/>
        <v>5827.9608863666717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3.5" customHeight="1" x14ac:dyDescent="0.3">
      <c r="A6" s="47" t="s">
        <v>95</v>
      </c>
      <c r="B6" s="46" t="s">
        <v>96</v>
      </c>
      <c r="C6" s="47"/>
      <c r="D6" s="47"/>
      <c r="E6" s="48"/>
      <c r="F6" s="49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3.5" customHeight="1" x14ac:dyDescent="0.3">
      <c r="A7" s="47" t="s">
        <v>97</v>
      </c>
      <c r="B7" s="44">
        <v>2107000</v>
      </c>
      <c r="C7" s="47"/>
      <c r="D7" s="47" t="s">
        <v>93</v>
      </c>
      <c r="E7" s="48">
        <v>6.7000000000000004E-2</v>
      </c>
      <c r="F7" s="49">
        <v>1E-3</v>
      </c>
      <c r="G7" s="50"/>
      <c r="H7" s="51">
        <f t="shared" ref="H7:H9" si="4">B7*F7</f>
        <v>2107</v>
      </c>
      <c r="I7" s="51">
        <f t="shared" ref="I7:M7" si="5">H7*$E$7+H7</f>
        <v>2248.1689999999999</v>
      </c>
      <c r="J7" s="51">
        <f t="shared" si="5"/>
        <v>2398.796323</v>
      </c>
      <c r="K7" s="51">
        <f t="shared" si="5"/>
        <v>2559.515676641</v>
      </c>
      <c r="L7" s="51">
        <f t="shared" si="5"/>
        <v>2731.0032269759472</v>
      </c>
      <c r="M7" s="51">
        <f t="shared" si="5"/>
        <v>2913.9804431833359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3.5" customHeight="1" x14ac:dyDescent="0.3">
      <c r="A8" s="47" t="s">
        <v>98</v>
      </c>
      <c r="B8" s="44">
        <v>3840000</v>
      </c>
      <c r="C8" s="47"/>
      <c r="D8" s="47" t="s">
        <v>93</v>
      </c>
      <c r="E8" s="48">
        <v>5.3999999999999999E-2</v>
      </c>
      <c r="F8" s="49">
        <v>1E-3</v>
      </c>
      <c r="G8" s="50"/>
      <c r="H8" s="51">
        <f t="shared" si="4"/>
        <v>3840</v>
      </c>
      <c r="I8" s="51">
        <f t="shared" ref="I8:M8" si="6">H8*$E$8+H8</f>
        <v>4047.36</v>
      </c>
      <c r="J8" s="51">
        <f t="shared" si="6"/>
        <v>4265.9174400000002</v>
      </c>
      <c r="K8" s="51">
        <f t="shared" si="6"/>
        <v>4496.2769817600001</v>
      </c>
      <c r="L8" s="51">
        <f t="shared" si="6"/>
        <v>4739.0759387750404</v>
      </c>
      <c r="M8" s="51">
        <f t="shared" si="6"/>
        <v>4994.9860394688922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.5" customHeight="1" x14ac:dyDescent="0.3">
      <c r="A9" s="47" t="s">
        <v>99</v>
      </c>
      <c r="B9" s="44">
        <v>600000</v>
      </c>
      <c r="C9" s="47"/>
      <c r="D9" s="47" t="s">
        <v>93</v>
      </c>
      <c r="E9" s="48">
        <v>0.11</v>
      </c>
      <c r="F9" s="49">
        <v>2E-3</v>
      </c>
      <c r="G9" s="50"/>
      <c r="H9" s="51">
        <f t="shared" si="4"/>
        <v>1200</v>
      </c>
      <c r="I9" s="51">
        <f t="shared" ref="I9:M9" si="7">H9*$E$9+H9</f>
        <v>1332</v>
      </c>
      <c r="J9" s="51">
        <f t="shared" si="7"/>
        <v>1478.52</v>
      </c>
      <c r="K9" s="51">
        <f t="shared" si="7"/>
        <v>1641.1572000000001</v>
      </c>
      <c r="L9" s="51">
        <f t="shared" si="7"/>
        <v>1821.6844920000001</v>
      </c>
      <c r="M9" s="51">
        <f t="shared" si="7"/>
        <v>2022.0697861200001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3.5" customHeight="1" x14ac:dyDescent="0.3">
      <c r="A10" s="47" t="s">
        <v>100</v>
      </c>
      <c r="B10" s="46" t="s">
        <v>101</v>
      </c>
      <c r="C10" s="47"/>
      <c r="D10" s="47"/>
      <c r="E10" s="48"/>
      <c r="F10" s="49"/>
      <c r="G10" s="50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3.5" customHeight="1" x14ac:dyDescent="0.3">
      <c r="A11" s="47" t="s">
        <v>102</v>
      </c>
      <c r="B11" s="44">
        <v>3600000</v>
      </c>
      <c r="C11" s="47"/>
      <c r="D11" s="47" t="s">
        <v>93</v>
      </c>
      <c r="E11" s="48">
        <v>0.05</v>
      </c>
      <c r="F11" s="49">
        <v>1E-3</v>
      </c>
      <c r="G11" s="50"/>
      <c r="H11" s="51">
        <f t="shared" ref="H11:H13" si="8">B11*F11</f>
        <v>3600</v>
      </c>
      <c r="I11" s="51">
        <f t="shared" ref="I11:M11" si="9">H11*$E$11+H11</f>
        <v>3780</v>
      </c>
      <c r="J11" s="51">
        <f t="shared" si="9"/>
        <v>3969</v>
      </c>
      <c r="K11" s="51">
        <f t="shared" si="9"/>
        <v>4167.45</v>
      </c>
      <c r="L11" s="51">
        <f t="shared" si="9"/>
        <v>4375.8225000000002</v>
      </c>
      <c r="M11" s="51">
        <f t="shared" si="9"/>
        <v>4594.613625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3.5" customHeight="1" x14ac:dyDescent="0.3">
      <c r="A12" s="47" t="s">
        <v>103</v>
      </c>
      <c r="B12" s="44">
        <v>2500000</v>
      </c>
      <c r="C12" s="47"/>
      <c r="D12" s="47" t="s">
        <v>93</v>
      </c>
      <c r="E12" s="48">
        <v>0.09</v>
      </c>
      <c r="F12" s="49">
        <v>1E-3</v>
      </c>
      <c r="G12" s="50"/>
      <c r="H12" s="51">
        <f t="shared" si="8"/>
        <v>2500</v>
      </c>
      <c r="I12" s="51">
        <f t="shared" ref="I12:M12" si="10">H12*$E$12+H12</f>
        <v>2725</v>
      </c>
      <c r="J12" s="51">
        <f t="shared" si="10"/>
        <v>2970.25</v>
      </c>
      <c r="K12" s="51">
        <f t="shared" si="10"/>
        <v>3237.5725000000002</v>
      </c>
      <c r="L12" s="51">
        <f t="shared" si="10"/>
        <v>3528.954025</v>
      </c>
      <c r="M12" s="51">
        <f t="shared" si="10"/>
        <v>3846.55988725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3.5" customHeight="1" x14ac:dyDescent="0.3">
      <c r="A13" s="47" t="s">
        <v>104</v>
      </c>
      <c r="B13" s="44"/>
      <c r="C13" s="47"/>
      <c r="D13" s="47" t="s">
        <v>93</v>
      </c>
      <c r="E13" s="48"/>
      <c r="F13" s="49"/>
      <c r="G13" s="50"/>
      <c r="H13" s="51">
        <f t="shared" si="8"/>
        <v>0</v>
      </c>
      <c r="I13" s="51">
        <f t="shared" ref="I13:M13" si="11">H13*$E$12+H13</f>
        <v>0</v>
      </c>
      <c r="J13" s="51">
        <f t="shared" si="11"/>
        <v>0</v>
      </c>
      <c r="K13" s="51">
        <f t="shared" si="11"/>
        <v>0</v>
      </c>
      <c r="L13" s="51">
        <f t="shared" si="11"/>
        <v>0</v>
      </c>
      <c r="M13" s="51">
        <f t="shared" si="11"/>
        <v>0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3.5" customHeight="1" x14ac:dyDescent="0.3">
      <c r="A14" s="43"/>
      <c r="B14" s="44"/>
      <c r="C14" s="43"/>
      <c r="D14" s="52"/>
      <c r="E14" s="48"/>
      <c r="F14" s="45"/>
      <c r="G14" s="45"/>
      <c r="H14" s="53"/>
      <c r="I14" s="53"/>
      <c r="J14" s="53"/>
      <c r="K14" s="53"/>
      <c r="L14" s="53"/>
      <c r="M14" s="53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3.5" customHeight="1" x14ac:dyDescent="0.3">
      <c r="A15" s="43" t="str">
        <f t="shared" ref="A15:A24" si="12">A4</f>
        <v xml:space="preserve">Spirulina Bulk </v>
      </c>
      <c r="B15" s="43" t="s">
        <v>105</v>
      </c>
      <c r="C15" s="43"/>
      <c r="D15" s="46"/>
      <c r="E15" s="46"/>
      <c r="F15" s="46"/>
      <c r="G15" s="46"/>
      <c r="H15" s="50">
        <v>0.05</v>
      </c>
      <c r="I15" s="50">
        <v>0.15</v>
      </c>
      <c r="J15" s="50">
        <v>0.3</v>
      </c>
      <c r="K15" s="50">
        <v>0.6</v>
      </c>
      <c r="L15" s="50">
        <v>0.9</v>
      </c>
      <c r="M15" s="50">
        <v>1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3.5" customHeight="1" x14ac:dyDescent="0.3">
      <c r="A16" s="43" t="str">
        <f t="shared" si="12"/>
        <v>Protein from Spirulina Bulk</v>
      </c>
      <c r="B16" s="43" t="s">
        <v>105</v>
      </c>
      <c r="C16" s="43"/>
      <c r="D16" s="46"/>
      <c r="E16" s="46"/>
      <c r="F16" s="46"/>
      <c r="G16" s="46"/>
      <c r="H16" s="50">
        <v>0.05</v>
      </c>
      <c r="I16" s="50">
        <v>0.15</v>
      </c>
      <c r="J16" s="50">
        <v>0.3</v>
      </c>
      <c r="K16" s="50">
        <v>0.5</v>
      </c>
      <c r="L16" s="50">
        <v>0.9</v>
      </c>
      <c r="M16" s="50">
        <v>1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3.5" customHeight="1" x14ac:dyDescent="0.3">
      <c r="A17" s="43" t="str">
        <f t="shared" si="12"/>
        <v>Spirulina 50 g (tablets or spaghettini)</v>
      </c>
      <c r="B17" s="43" t="str">
        <f>B6</f>
        <v>(vedi Spirulina)</v>
      </c>
      <c r="C17" s="43"/>
      <c r="D17" s="46"/>
      <c r="E17" s="46"/>
      <c r="F17" s="46"/>
      <c r="G17" s="46"/>
      <c r="H17" s="50"/>
      <c r="I17" s="50"/>
      <c r="J17" s="50"/>
      <c r="K17" s="50"/>
      <c r="L17" s="50"/>
      <c r="M17" s="50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3.5" customHeight="1" x14ac:dyDescent="0.3">
      <c r="A18" s="43" t="str">
        <f t="shared" si="12"/>
        <v>Alternative meat product</v>
      </c>
      <c r="B18" s="43" t="s">
        <v>105</v>
      </c>
      <c r="C18" s="43"/>
      <c r="D18" s="46"/>
      <c r="E18" s="46"/>
      <c r="F18" s="46"/>
      <c r="G18" s="46"/>
      <c r="H18" s="50">
        <v>0.05</v>
      </c>
      <c r="I18" s="50">
        <v>0.15</v>
      </c>
      <c r="J18" s="50">
        <v>0.3</v>
      </c>
      <c r="K18" s="50">
        <v>0.6</v>
      </c>
      <c r="L18" s="50">
        <v>1</v>
      </c>
      <c r="M18" s="50">
        <v>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3.5" customHeight="1" x14ac:dyDescent="0.3">
      <c r="A19" s="43" t="str">
        <f t="shared" si="12"/>
        <v>Barrette per Terzi</v>
      </c>
      <c r="B19" s="43" t="s">
        <v>105</v>
      </c>
      <c r="C19" s="43"/>
      <c r="D19" s="43"/>
      <c r="E19" s="44"/>
      <c r="F19" s="45"/>
      <c r="G19" s="45"/>
      <c r="H19" s="50">
        <v>0.05</v>
      </c>
      <c r="I19" s="50">
        <v>0.1</v>
      </c>
      <c r="J19" s="50">
        <v>0.2</v>
      </c>
      <c r="K19" s="50">
        <v>0.5</v>
      </c>
      <c r="L19" s="50">
        <v>1</v>
      </c>
      <c r="M19" s="50">
        <v>1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3.5" customHeight="1" x14ac:dyDescent="0.3">
      <c r="A20" s="43" t="str">
        <f t="shared" si="12"/>
        <v>Phycocyanin</v>
      </c>
      <c r="B20" s="43" t="s">
        <v>105</v>
      </c>
      <c r="C20" s="43"/>
      <c r="D20" s="43"/>
      <c r="E20" s="44"/>
      <c r="F20" s="45"/>
      <c r="G20" s="45"/>
      <c r="H20" s="50">
        <v>0.05</v>
      </c>
      <c r="I20" s="50">
        <v>0.2</v>
      </c>
      <c r="J20" s="50">
        <v>0.4</v>
      </c>
      <c r="K20" s="50">
        <v>0.6</v>
      </c>
      <c r="L20" s="50">
        <v>1</v>
      </c>
      <c r="M20" s="50">
        <v>1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3.5" customHeight="1" x14ac:dyDescent="0.3">
      <c r="A21" s="43" t="str">
        <f t="shared" si="12"/>
        <v>Barrette a marchio</v>
      </c>
      <c r="B21" s="43" t="str">
        <f>B10</f>
        <v>(vedi Barrette)</v>
      </c>
      <c r="C21" s="43"/>
      <c r="D21" s="43"/>
      <c r="E21" s="44"/>
      <c r="F21" s="45"/>
      <c r="G21" s="45"/>
      <c r="H21" s="50"/>
      <c r="I21" s="50"/>
      <c r="J21" s="50"/>
      <c r="K21" s="50"/>
      <c r="L21" s="50"/>
      <c r="M21" s="50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3.5" customHeight="1" x14ac:dyDescent="0.3">
      <c r="A22" s="43" t="str">
        <f t="shared" si="12"/>
        <v>Drink Funzionali</v>
      </c>
      <c r="B22" s="43" t="s">
        <v>105</v>
      </c>
      <c r="C22" s="43"/>
      <c r="D22" s="43"/>
      <c r="E22" s="44"/>
      <c r="F22" s="45"/>
      <c r="G22" s="45"/>
      <c r="H22" s="50">
        <v>0.1</v>
      </c>
      <c r="I22" s="50">
        <v>0.3</v>
      </c>
      <c r="J22" s="50">
        <v>0.4</v>
      </c>
      <c r="K22" s="50">
        <v>0.6</v>
      </c>
      <c r="L22" s="50">
        <v>1</v>
      </c>
      <c r="M22" s="50">
        <v>1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3.5" customHeight="1" x14ac:dyDescent="0.3">
      <c r="A23" s="43" t="str">
        <f t="shared" si="12"/>
        <v>Phycogel Antivirale</v>
      </c>
      <c r="B23" s="43" t="s">
        <v>105</v>
      </c>
      <c r="C23" s="43"/>
      <c r="D23" s="43"/>
      <c r="E23" s="44"/>
      <c r="F23" s="45"/>
      <c r="G23" s="45"/>
      <c r="H23" s="50">
        <v>0.01</v>
      </c>
      <c r="I23" s="50">
        <v>0.2</v>
      </c>
      <c r="J23" s="50">
        <v>0.4</v>
      </c>
      <c r="K23" s="50">
        <v>0.6</v>
      </c>
      <c r="L23" s="50">
        <v>1</v>
      </c>
      <c r="M23" s="50">
        <v>1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3.5" customHeight="1" x14ac:dyDescent="0.3">
      <c r="A24" s="43" t="str">
        <f t="shared" si="12"/>
        <v>XXX</v>
      </c>
      <c r="B24" s="43"/>
      <c r="C24" s="43"/>
      <c r="D24" s="43"/>
      <c r="E24" s="44"/>
      <c r="F24" s="45"/>
      <c r="G24" s="45"/>
      <c r="H24" s="50"/>
      <c r="I24" s="50"/>
      <c r="J24" s="50"/>
      <c r="K24" s="50"/>
      <c r="L24" s="50"/>
      <c r="M24" s="50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3.5" customHeight="1" x14ac:dyDescent="0.3">
      <c r="A25" s="43"/>
      <c r="B25" s="44"/>
      <c r="C25" s="43"/>
      <c r="D25" s="43"/>
      <c r="E25" s="44"/>
      <c r="F25" s="45"/>
      <c r="G25" s="45"/>
      <c r="H25" s="50"/>
      <c r="I25" s="50"/>
      <c r="J25" s="50"/>
      <c r="K25" s="50"/>
      <c r="L25" s="50"/>
      <c r="M25" s="50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3.5" customHeight="1" x14ac:dyDescent="0.3">
      <c r="A26" s="54" t="s">
        <v>106</v>
      </c>
      <c r="B26" s="54"/>
      <c r="C26" s="54"/>
      <c r="D26" s="54"/>
      <c r="E26" s="55"/>
      <c r="F26" s="56"/>
      <c r="G26" s="56"/>
      <c r="H26" s="57">
        <f t="shared" ref="H26:M26" si="13">H$58</f>
        <v>2022</v>
      </c>
      <c r="I26" s="57">
        <f t="shared" si="13"/>
        <v>2023</v>
      </c>
      <c r="J26" s="57">
        <f t="shared" si="13"/>
        <v>2024</v>
      </c>
      <c r="K26" s="57">
        <f t="shared" si="13"/>
        <v>2025</v>
      </c>
      <c r="L26" s="57">
        <f t="shared" si="13"/>
        <v>2026</v>
      </c>
      <c r="M26" s="57">
        <f t="shared" si="13"/>
        <v>2027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3.5" customHeight="1" x14ac:dyDescent="0.3">
      <c r="A27" s="43" t="str">
        <f t="shared" ref="A27:A36" si="14">A15</f>
        <v xml:space="preserve">Spirulina Bulk </v>
      </c>
      <c r="B27" s="47"/>
      <c r="C27" s="47"/>
      <c r="D27" s="47" t="s">
        <v>93</v>
      </c>
      <c r="E27" s="58"/>
      <c r="F27" s="51">
        <f t="shared" ref="F27:F28" si="15">SUM(H27:L27)</f>
        <v>11562.069521877052</v>
      </c>
      <c r="G27" s="51"/>
      <c r="H27" s="51">
        <f t="shared" ref="H27:M27" si="16">H4*H15</f>
        <v>236.25</v>
      </c>
      <c r="I27" s="51">
        <f t="shared" si="16"/>
        <v>756.23624999999993</v>
      </c>
      <c r="J27" s="51">
        <f t="shared" si="16"/>
        <v>1613.8081574999999</v>
      </c>
      <c r="K27" s="51">
        <f t="shared" si="16"/>
        <v>3443.8666081049996</v>
      </c>
      <c r="L27" s="51">
        <f t="shared" si="16"/>
        <v>5511.9085062720524</v>
      </c>
      <c r="M27" s="51">
        <f t="shared" si="16"/>
        <v>6534.6737513247554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3.5" customHeight="1" x14ac:dyDescent="0.3">
      <c r="A28" s="43" t="str">
        <f t="shared" si="14"/>
        <v>Protein from Spirulina Bulk</v>
      </c>
      <c r="B28" s="47"/>
      <c r="C28" s="47"/>
      <c r="D28" s="47" t="s">
        <v>93</v>
      </c>
      <c r="E28" s="58"/>
      <c r="F28" s="51">
        <f t="shared" si="15"/>
        <v>9799.7499789977046</v>
      </c>
      <c r="G28" s="59">
        <v>0</v>
      </c>
      <c r="H28" s="51">
        <f>H5*H16</f>
        <v>210.70000000000002</v>
      </c>
      <c r="I28" s="51">
        <f>I5*I18</f>
        <v>674.45069999999998</v>
      </c>
      <c r="J28" s="51">
        <f t="shared" ref="J28:M28" si="17">J5*J16</f>
        <v>1439.2777937999999</v>
      </c>
      <c r="K28" s="51">
        <f t="shared" si="17"/>
        <v>2559.515676641</v>
      </c>
      <c r="L28" s="51">
        <f t="shared" si="17"/>
        <v>4915.8058085567054</v>
      </c>
      <c r="M28" s="51">
        <f t="shared" si="17"/>
        <v>5827.9608863666717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3.5" customHeight="1" x14ac:dyDescent="0.3">
      <c r="A29" s="43" t="str">
        <f t="shared" si="14"/>
        <v>Spirulina 50 g (tablets or spaghettini)</v>
      </c>
      <c r="B29" s="47"/>
      <c r="C29" s="47"/>
      <c r="D29" s="47"/>
      <c r="E29" s="58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3.5" customHeight="1" x14ac:dyDescent="0.3">
      <c r="A30" s="43" t="str">
        <f t="shared" si="14"/>
        <v>Alternative meat product</v>
      </c>
      <c r="B30" s="47"/>
      <c r="C30" s="47"/>
      <c r="D30" s="47" t="s">
        <v>93</v>
      </c>
      <c r="E30" s="58"/>
      <c r="F30" s="51">
        <f t="shared" ref="F30:F32" si="18">SUM(H30:L30)</f>
        <v>5428.9268798605472</v>
      </c>
      <c r="G30" s="51"/>
      <c r="H30" s="51">
        <f t="shared" ref="H30:M30" si="19">H7*H18</f>
        <v>105.35000000000001</v>
      </c>
      <c r="I30" s="51">
        <f t="shared" si="19"/>
        <v>337.22534999999999</v>
      </c>
      <c r="J30" s="51">
        <f t="shared" si="19"/>
        <v>719.63889689999996</v>
      </c>
      <c r="K30" s="51">
        <f t="shared" si="19"/>
        <v>1535.7094059845999</v>
      </c>
      <c r="L30" s="51">
        <f t="shared" si="19"/>
        <v>2731.0032269759472</v>
      </c>
      <c r="M30" s="51">
        <f t="shared" si="19"/>
        <v>2913.9804431833359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3.5" customHeight="1" x14ac:dyDescent="0.3">
      <c r="A31" s="43" t="str">
        <f t="shared" si="14"/>
        <v>Barrette per Terzi</v>
      </c>
      <c r="B31" s="47"/>
      <c r="C31" s="47"/>
      <c r="D31" s="47" t="s">
        <v>93</v>
      </c>
      <c r="E31" s="58"/>
      <c r="F31" s="51">
        <f t="shared" si="18"/>
        <v>8437.1339176550409</v>
      </c>
      <c r="G31" s="51"/>
      <c r="H31" s="51">
        <f t="shared" ref="H31:M31" si="20">H8*H19</f>
        <v>192</v>
      </c>
      <c r="I31" s="51">
        <f t="shared" si="20"/>
        <v>404.73600000000005</v>
      </c>
      <c r="J31" s="51">
        <f t="shared" si="20"/>
        <v>853.18348800000012</v>
      </c>
      <c r="K31" s="51">
        <f t="shared" si="20"/>
        <v>2248.1384908800001</v>
      </c>
      <c r="L31" s="51">
        <f t="shared" si="20"/>
        <v>4739.0759387750404</v>
      </c>
      <c r="M31" s="51">
        <f t="shared" si="20"/>
        <v>4994.9860394688922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3.5" customHeight="1" x14ac:dyDescent="0.3">
      <c r="A32" s="43" t="str">
        <f t="shared" si="14"/>
        <v>Phycocyanin</v>
      </c>
      <c r="B32" s="47"/>
      <c r="C32" s="47"/>
      <c r="D32" s="47" t="s">
        <v>93</v>
      </c>
      <c r="E32" s="60"/>
      <c r="F32" s="51">
        <f t="shared" si="18"/>
        <v>3724.1868119999999</v>
      </c>
      <c r="G32" s="51"/>
      <c r="H32" s="51">
        <f t="shared" ref="H32:M32" si="21">H9*H20</f>
        <v>60</v>
      </c>
      <c r="I32" s="51">
        <f t="shared" si="21"/>
        <v>266.40000000000003</v>
      </c>
      <c r="J32" s="51">
        <f t="shared" si="21"/>
        <v>591.40800000000002</v>
      </c>
      <c r="K32" s="51">
        <f t="shared" si="21"/>
        <v>984.69432000000006</v>
      </c>
      <c r="L32" s="51">
        <f t="shared" si="21"/>
        <v>1821.6844920000001</v>
      </c>
      <c r="M32" s="51">
        <f t="shared" si="21"/>
        <v>2022.0697861200001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3.5" customHeight="1" x14ac:dyDescent="0.3">
      <c r="A33" s="43" t="str">
        <f t="shared" si="14"/>
        <v>Barrette a marchio</v>
      </c>
      <c r="B33" s="47"/>
      <c r="C33" s="47"/>
      <c r="D33" s="47"/>
      <c r="E33" s="6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3.5" customHeight="1" x14ac:dyDescent="0.3">
      <c r="A34" s="43" t="str">
        <f t="shared" si="14"/>
        <v>Drink Funzionali</v>
      </c>
      <c r="B34" s="47"/>
      <c r="C34" s="47"/>
      <c r="D34" s="47" t="s">
        <v>93</v>
      </c>
      <c r="E34" s="60"/>
      <c r="F34" s="51">
        <f t="shared" ref="F34:F35" si="22">SUM(H34:L34)</f>
        <v>9957.8924999999999</v>
      </c>
      <c r="G34" s="51"/>
      <c r="H34" s="51">
        <f t="shared" ref="H34:M34" si="23">H11*H22</f>
        <v>360</v>
      </c>
      <c r="I34" s="51">
        <f t="shared" si="23"/>
        <v>1134</v>
      </c>
      <c r="J34" s="51">
        <f t="shared" si="23"/>
        <v>1587.6000000000001</v>
      </c>
      <c r="K34" s="51">
        <f t="shared" si="23"/>
        <v>2500.4699999999998</v>
      </c>
      <c r="L34" s="51">
        <f t="shared" si="23"/>
        <v>4375.8225000000002</v>
      </c>
      <c r="M34" s="51">
        <f t="shared" si="23"/>
        <v>4594.613625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3.5" customHeight="1" x14ac:dyDescent="0.3">
      <c r="A35" s="43" t="str">
        <f t="shared" si="14"/>
        <v>Phycogel Antivirale</v>
      </c>
      <c r="B35" s="47"/>
      <c r="C35" s="47"/>
      <c r="D35" s="47" t="s">
        <v>93</v>
      </c>
      <c r="E35" s="60"/>
      <c r="F35" s="51">
        <f t="shared" si="22"/>
        <v>7229.5975250000001</v>
      </c>
      <c r="G35" s="51"/>
      <c r="H35" s="51">
        <f t="shared" ref="H35:M35" si="24">H12*H23</f>
        <v>25</v>
      </c>
      <c r="I35" s="51">
        <f t="shared" si="24"/>
        <v>545</v>
      </c>
      <c r="J35" s="51">
        <f t="shared" si="24"/>
        <v>1188.1000000000001</v>
      </c>
      <c r="K35" s="51">
        <f t="shared" si="24"/>
        <v>1942.5435</v>
      </c>
      <c r="L35" s="51">
        <f t="shared" si="24"/>
        <v>3528.954025</v>
      </c>
      <c r="M35" s="51">
        <f t="shared" si="24"/>
        <v>3846.55988725</v>
      </c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3.5" customHeight="1" x14ac:dyDescent="0.3">
      <c r="A36" s="43" t="str">
        <f t="shared" si="14"/>
        <v>XXX</v>
      </c>
      <c r="B36" s="47"/>
      <c r="C36" s="47"/>
      <c r="D36" s="47"/>
      <c r="E36" s="6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3.5" customHeight="1" x14ac:dyDescent="0.3">
      <c r="A37" s="47" t="s">
        <v>107</v>
      </c>
      <c r="B37" s="47"/>
      <c r="C37" s="47"/>
      <c r="D37" s="47" t="s">
        <v>108</v>
      </c>
      <c r="E37" s="58"/>
      <c r="F37" s="51"/>
      <c r="G37" s="51"/>
      <c r="H37" s="61">
        <f t="shared" ref="H37:M37" si="25">AVERAGE(H15:H23)</f>
        <v>5.1428571428571428E-2</v>
      </c>
      <c r="I37" s="61">
        <f t="shared" si="25"/>
        <v>0.17857142857142858</v>
      </c>
      <c r="J37" s="61">
        <f t="shared" si="25"/>
        <v>0.32857142857142857</v>
      </c>
      <c r="K37" s="61">
        <f t="shared" si="25"/>
        <v>0.5714285714285714</v>
      </c>
      <c r="L37" s="61">
        <f t="shared" si="25"/>
        <v>0.97142857142857142</v>
      </c>
      <c r="M37" s="61">
        <f t="shared" si="25"/>
        <v>1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3.5" customHeight="1" x14ac:dyDescent="0.3">
      <c r="A38" s="43"/>
      <c r="B38" s="43"/>
      <c r="C38" s="43"/>
      <c r="D38" s="43"/>
      <c r="E38" s="44"/>
      <c r="F38" s="45"/>
      <c r="G38" s="4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3.5" customHeight="1" x14ac:dyDescent="0.3">
      <c r="A39" s="43"/>
      <c r="B39" s="43"/>
      <c r="C39" s="43"/>
      <c r="D39" s="43"/>
      <c r="E39" s="44"/>
      <c r="F39" s="45"/>
      <c r="G39" s="45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3.5" customHeight="1" x14ac:dyDescent="0.3">
      <c r="A40" s="54" t="s">
        <v>109</v>
      </c>
      <c r="B40" s="54"/>
      <c r="C40" s="54"/>
      <c r="D40" s="54"/>
      <c r="E40" s="55"/>
      <c r="F40" s="56"/>
      <c r="G40" s="56"/>
      <c r="H40" s="57">
        <f t="shared" ref="H40:M40" si="26">H$58</f>
        <v>2022</v>
      </c>
      <c r="I40" s="57">
        <f t="shared" si="26"/>
        <v>2023</v>
      </c>
      <c r="J40" s="57">
        <f t="shared" si="26"/>
        <v>2024</v>
      </c>
      <c r="K40" s="57">
        <f t="shared" si="26"/>
        <v>2025</v>
      </c>
      <c r="L40" s="57">
        <f t="shared" si="26"/>
        <v>2026</v>
      </c>
      <c r="M40" s="57">
        <f t="shared" si="26"/>
        <v>2027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3.5" customHeight="1" x14ac:dyDescent="0.3">
      <c r="A41" s="43" t="str">
        <f t="shared" ref="A41:A50" si="27">A27</f>
        <v xml:space="preserve">Spirulina Bulk </v>
      </c>
      <c r="B41" s="43"/>
      <c r="C41" s="43"/>
      <c r="D41" s="43" t="s">
        <v>93</v>
      </c>
      <c r="E41" s="50"/>
      <c r="F41" s="45">
        <f t="shared" ref="F41:F49" si="28">SUM(H41:L41)</f>
        <v>9827.7590935954941</v>
      </c>
      <c r="G41" s="45"/>
      <c r="H41" s="46">
        <f t="shared" ref="H41:M41" si="29">H$27-H43</f>
        <v>200.8125</v>
      </c>
      <c r="I41" s="46">
        <f t="shared" si="29"/>
        <v>642.80081249999989</v>
      </c>
      <c r="J41" s="46">
        <f t="shared" si="29"/>
        <v>1371.736933875</v>
      </c>
      <c r="K41" s="46">
        <f t="shared" si="29"/>
        <v>2927.2866168892497</v>
      </c>
      <c r="L41" s="46">
        <f t="shared" si="29"/>
        <v>4685.1222303312443</v>
      </c>
      <c r="M41" s="46">
        <f t="shared" si="29"/>
        <v>5554.4726886260423</v>
      </c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3.5" customHeight="1" x14ac:dyDescent="0.3">
      <c r="A42" s="43" t="str">
        <f t="shared" si="27"/>
        <v>Protein from Spirulina Bulk</v>
      </c>
      <c r="B42" s="43"/>
      <c r="C42" s="50"/>
      <c r="D42" s="43" t="s">
        <v>93</v>
      </c>
      <c r="E42" s="62"/>
      <c r="F42" s="45">
        <f t="shared" si="28"/>
        <v>9799.7499789977046</v>
      </c>
      <c r="G42" s="45"/>
      <c r="H42" s="46">
        <f t="shared" ref="H42:M42" si="30">H$28</f>
        <v>210.70000000000002</v>
      </c>
      <c r="I42" s="46">
        <f t="shared" si="30"/>
        <v>674.45069999999998</v>
      </c>
      <c r="J42" s="46">
        <f t="shared" si="30"/>
        <v>1439.2777937999999</v>
      </c>
      <c r="K42" s="46">
        <f t="shared" si="30"/>
        <v>2559.515676641</v>
      </c>
      <c r="L42" s="46">
        <f t="shared" si="30"/>
        <v>4915.8058085567054</v>
      </c>
      <c r="M42" s="46">
        <f t="shared" si="30"/>
        <v>5827.9608863666717</v>
      </c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3.5" customHeight="1" x14ac:dyDescent="0.3">
      <c r="A43" s="43" t="str">
        <f t="shared" si="27"/>
        <v>Spirulina 50 g (tablets or spaghettini)</v>
      </c>
      <c r="B43" s="43"/>
      <c r="C43" s="50">
        <v>0.15</v>
      </c>
      <c r="D43" s="43" t="s">
        <v>93</v>
      </c>
      <c r="E43" s="62"/>
      <c r="F43" s="45">
        <f t="shared" si="28"/>
        <v>1734.3104282815577</v>
      </c>
      <c r="G43" s="45"/>
      <c r="H43" s="46">
        <f t="shared" ref="H43:M43" si="31">H$27*$C$43</f>
        <v>35.4375</v>
      </c>
      <c r="I43" s="46">
        <f t="shared" si="31"/>
        <v>113.43543749999999</v>
      </c>
      <c r="J43" s="46">
        <f t="shared" si="31"/>
        <v>242.07122362499996</v>
      </c>
      <c r="K43" s="46">
        <f t="shared" si="31"/>
        <v>516.57999121574994</v>
      </c>
      <c r="L43" s="46">
        <f t="shared" si="31"/>
        <v>826.78627594080785</v>
      </c>
      <c r="M43" s="46">
        <f t="shared" si="31"/>
        <v>980.20106269871326</v>
      </c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3.5" customHeight="1" x14ac:dyDescent="0.3">
      <c r="A44" s="43" t="str">
        <f t="shared" si="27"/>
        <v>Alternative meat product</v>
      </c>
      <c r="B44" s="43"/>
      <c r="C44" s="43"/>
      <c r="D44" s="43" t="s">
        <v>93</v>
      </c>
      <c r="E44" s="62"/>
      <c r="F44" s="45">
        <f t="shared" si="28"/>
        <v>5428.9268798605472</v>
      </c>
      <c r="G44" s="45"/>
      <c r="H44" s="46">
        <f t="shared" ref="H44:M44" si="32">H$30</f>
        <v>105.35000000000001</v>
      </c>
      <c r="I44" s="46">
        <f t="shared" si="32"/>
        <v>337.22534999999999</v>
      </c>
      <c r="J44" s="46">
        <f t="shared" si="32"/>
        <v>719.63889689999996</v>
      </c>
      <c r="K44" s="46">
        <f t="shared" si="32"/>
        <v>1535.7094059845999</v>
      </c>
      <c r="L44" s="46">
        <f t="shared" si="32"/>
        <v>2731.0032269759472</v>
      </c>
      <c r="M44" s="46">
        <f t="shared" si="32"/>
        <v>2913.9804431833359</v>
      </c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3.5" customHeight="1" x14ac:dyDescent="0.3">
      <c r="A45" s="43" t="str">
        <f t="shared" si="27"/>
        <v>Barrette per Terzi</v>
      </c>
      <c r="B45" s="43"/>
      <c r="C45" s="43"/>
      <c r="D45" s="43" t="s">
        <v>93</v>
      </c>
      <c r="E45" s="62"/>
      <c r="F45" s="45">
        <f t="shared" si="28"/>
        <v>7171.5638300067849</v>
      </c>
      <c r="G45" s="45"/>
      <c r="H45" s="46">
        <f t="shared" ref="H45:M45" si="33">H$31-H47</f>
        <v>163.19999999999999</v>
      </c>
      <c r="I45" s="46">
        <f t="shared" si="33"/>
        <v>344.02560000000005</v>
      </c>
      <c r="J45" s="46">
        <f t="shared" si="33"/>
        <v>725.20596480000017</v>
      </c>
      <c r="K45" s="46">
        <f t="shared" si="33"/>
        <v>1910.9177172480001</v>
      </c>
      <c r="L45" s="46">
        <f t="shared" si="33"/>
        <v>4028.2145479587844</v>
      </c>
      <c r="M45" s="46">
        <f t="shared" si="33"/>
        <v>4245.7381335485588</v>
      </c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3.5" customHeight="1" x14ac:dyDescent="0.3">
      <c r="A46" s="43" t="str">
        <f t="shared" si="27"/>
        <v>Phycocyanin</v>
      </c>
      <c r="B46" s="43"/>
      <c r="C46" s="43"/>
      <c r="D46" s="43" t="s">
        <v>93</v>
      </c>
      <c r="E46" s="62"/>
      <c r="F46" s="45">
        <f t="shared" si="28"/>
        <v>3724.1868119999999</v>
      </c>
      <c r="G46" s="45"/>
      <c r="H46" s="46">
        <f t="shared" ref="H46:M46" si="34">H$32</f>
        <v>60</v>
      </c>
      <c r="I46" s="46">
        <f t="shared" si="34"/>
        <v>266.40000000000003</v>
      </c>
      <c r="J46" s="46">
        <f t="shared" si="34"/>
        <v>591.40800000000002</v>
      </c>
      <c r="K46" s="46">
        <f t="shared" si="34"/>
        <v>984.69432000000006</v>
      </c>
      <c r="L46" s="46">
        <f t="shared" si="34"/>
        <v>1821.6844920000001</v>
      </c>
      <c r="M46" s="46">
        <f t="shared" si="34"/>
        <v>2022.0697861200001</v>
      </c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3.5" customHeight="1" x14ac:dyDescent="0.3">
      <c r="A47" s="43" t="str">
        <f t="shared" si="27"/>
        <v>Barrette a marchio</v>
      </c>
      <c r="B47" s="50"/>
      <c r="C47" s="50">
        <v>0.15</v>
      </c>
      <c r="D47" s="43" t="s">
        <v>93</v>
      </c>
      <c r="E47" s="44"/>
      <c r="F47" s="45">
        <f t="shared" si="28"/>
        <v>1265.570087648256</v>
      </c>
      <c r="G47" s="45"/>
      <c r="H47" s="46">
        <f t="shared" ref="H47:M47" si="35">H$31*$C$47</f>
        <v>28.799999999999997</v>
      </c>
      <c r="I47" s="46">
        <f t="shared" si="35"/>
        <v>60.710400000000007</v>
      </c>
      <c r="J47" s="46">
        <f t="shared" si="35"/>
        <v>127.97752320000001</v>
      </c>
      <c r="K47" s="46">
        <f t="shared" si="35"/>
        <v>337.22077363199998</v>
      </c>
      <c r="L47" s="46">
        <f t="shared" si="35"/>
        <v>710.86139081625606</v>
      </c>
      <c r="M47" s="46">
        <f t="shared" si="35"/>
        <v>749.24790592033378</v>
      </c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3.5" customHeight="1" x14ac:dyDescent="0.3">
      <c r="A48" s="43" t="str">
        <f t="shared" si="27"/>
        <v>Drink Funzionali</v>
      </c>
      <c r="B48" s="63" t="s">
        <v>110</v>
      </c>
      <c r="C48" s="43"/>
      <c r="D48" s="43" t="s">
        <v>93</v>
      </c>
      <c r="E48" s="44"/>
      <c r="F48" s="45">
        <f t="shared" si="28"/>
        <v>11736.087589285715</v>
      </c>
      <c r="G48" s="45"/>
      <c r="H48" s="46">
        <f t="shared" ref="H48:M48" si="36">H$34+((H$34/H81)*$E$68*10%)</f>
        <v>424.28571428571433</v>
      </c>
      <c r="I48" s="46">
        <f t="shared" si="36"/>
        <v>1336.5</v>
      </c>
      <c r="J48" s="46">
        <f t="shared" si="36"/>
        <v>1871.1000000000001</v>
      </c>
      <c r="K48" s="46">
        <f t="shared" si="36"/>
        <v>2946.9825000000001</v>
      </c>
      <c r="L48" s="46">
        <f t="shared" si="36"/>
        <v>5157.2193750000006</v>
      </c>
      <c r="M48" s="46">
        <f t="shared" si="36"/>
        <v>5415.0803437499999</v>
      </c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3.5" customHeight="1" x14ac:dyDescent="0.3">
      <c r="A49" s="43" t="str">
        <f t="shared" si="27"/>
        <v>Phycogel Antivirale</v>
      </c>
      <c r="B49" s="63"/>
      <c r="C49" s="43"/>
      <c r="D49" s="43" t="s">
        <v>93</v>
      </c>
      <c r="E49" s="44"/>
      <c r="F49" s="45">
        <f t="shared" si="28"/>
        <v>7229.5975250000001</v>
      </c>
      <c r="G49" s="45"/>
      <c r="H49" s="46">
        <f t="shared" ref="H49:M49" si="37">H$35</f>
        <v>25</v>
      </c>
      <c r="I49" s="46">
        <f t="shared" si="37"/>
        <v>545</v>
      </c>
      <c r="J49" s="46">
        <f t="shared" si="37"/>
        <v>1188.1000000000001</v>
      </c>
      <c r="K49" s="46">
        <f t="shared" si="37"/>
        <v>1942.5435</v>
      </c>
      <c r="L49" s="46">
        <f t="shared" si="37"/>
        <v>3528.954025</v>
      </c>
      <c r="M49" s="46">
        <f t="shared" si="37"/>
        <v>3846.55988725</v>
      </c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3.5" customHeight="1" x14ac:dyDescent="0.3">
      <c r="A50" s="43" t="str">
        <f t="shared" si="27"/>
        <v>XXX</v>
      </c>
      <c r="B50" s="63"/>
      <c r="C50" s="43"/>
      <c r="D50" s="43"/>
      <c r="E50" s="44"/>
      <c r="F50" s="45"/>
      <c r="G50" s="45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3.5" customHeight="1" x14ac:dyDescent="0.3">
      <c r="A51" s="54" t="s">
        <v>111</v>
      </c>
      <c r="B51" s="54"/>
      <c r="C51" s="54"/>
      <c r="D51" s="54" t="s">
        <v>93</v>
      </c>
      <c r="E51" s="55"/>
      <c r="F51" s="56">
        <f t="shared" ref="F51:F52" si="38">SUM(H51:L51)</f>
        <v>57917.752224676056</v>
      </c>
      <c r="G51" s="56"/>
      <c r="H51" s="56">
        <f t="shared" ref="H51:M51" si="39">SUM(H41:H49)</f>
        <v>1253.5857142857144</v>
      </c>
      <c r="I51" s="56">
        <f t="shared" si="39"/>
        <v>4320.5483000000004</v>
      </c>
      <c r="J51" s="56">
        <f t="shared" si="39"/>
        <v>8276.5163362000003</v>
      </c>
      <c r="K51" s="56">
        <f t="shared" si="39"/>
        <v>15661.4505016106</v>
      </c>
      <c r="L51" s="56">
        <f t="shared" si="39"/>
        <v>28405.651372579741</v>
      </c>
      <c r="M51" s="56">
        <f t="shared" si="39"/>
        <v>31555.311137463657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3.5" customHeight="1" x14ac:dyDescent="0.3">
      <c r="A52" s="54" t="s">
        <v>112</v>
      </c>
      <c r="B52" s="54"/>
      <c r="C52" s="54"/>
      <c r="D52" s="54" t="s">
        <v>93</v>
      </c>
      <c r="E52" s="55"/>
      <c r="F52" s="56">
        <f t="shared" si="38"/>
        <v>54917.871708746243</v>
      </c>
      <c r="G52" s="56"/>
      <c r="H52" s="56">
        <f t="shared" ref="H52:M52" si="40">H51-H43-H47</f>
        <v>1189.3482142857144</v>
      </c>
      <c r="I52" s="56">
        <f t="shared" si="40"/>
        <v>4146.4024625000002</v>
      </c>
      <c r="J52" s="56">
        <f t="shared" si="40"/>
        <v>7906.467589375</v>
      </c>
      <c r="K52" s="56">
        <f t="shared" si="40"/>
        <v>14807.649736762849</v>
      </c>
      <c r="L52" s="56">
        <f t="shared" si="40"/>
        <v>26868.003705822677</v>
      </c>
      <c r="M52" s="56">
        <f t="shared" si="40"/>
        <v>29825.862168844611</v>
      </c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3.5" customHeight="1" x14ac:dyDescent="0.3">
      <c r="A53" s="54"/>
      <c r="B53" s="54"/>
      <c r="C53" s="54"/>
      <c r="D53" s="54"/>
      <c r="E53" s="55"/>
      <c r="F53" s="56"/>
      <c r="G53" s="56"/>
      <c r="H53" s="56"/>
      <c r="I53" s="56"/>
      <c r="J53" s="56"/>
      <c r="K53" s="56"/>
      <c r="L53" s="56"/>
      <c r="M53" s="5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3.5" customHeight="1" x14ac:dyDescent="0.3">
      <c r="A54" s="35"/>
      <c r="B54" s="35"/>
      <c r="C54" s="35"/>
      <c r="D54" s="35"/>
      <c r="E54" s="37"/>
      <c r="F54" s="36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3.5" customHeight="1" x14ac:dyDescent="0.3">
      <c r="A55" s="35"/>
      <c r="B55" s="35"/>
      <c r="C55" s="35"/>
      <c r="D55" s="35"/>
      <c r="E55" s="37"/>
      <c r="F55" s="36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3.5" customHeight="1" x14ac:dyDescent="0.3">
      <c r="A56" s="64" t="s">
        <v>113</v>
      </c>
      <c r="B56" s="65"/>
      <c r="C56" s="65"/>
      <c r="D56" s="65"/>
      <c r="E56" s="66"/>
      <c r="F56" s="67"/>
      <c r="G56" s="67"/>
      <c r="H56" s="66"/>
      <c r="I56" s="66"/>
      <c r="J56" s="66"/>
      <c r="K56" s="66"/>
      <c r="L56" s="66"/>
      <c r="M56" s="66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3.5" customHeight="1" x14ac:dyDescent="0.3">
      <c r="A57" s="35"/>
      <c r="B57" s="35"/>
      <c r="C57" s="35"/>
      <c r="D57" s="35"/>
      <c r="E57" s="36"/>
      <c r="F57" s="36"/>
      <c r="G57" s="36"/>
      <c r="H57" s="37" t="s">
        <v>81</v>
      </c>
      <c r="I57" s="37" t="s">
        <v>82</v>
      </c>
      <c r="J57" s="37" t="s">
        <v>83</v>
      </c>
      <c r="K57" s="37" t="s">
        <v>84</v>
      </c>
      <c r="L57" s="37" t="s">
        <v>85</v>
      </c>
      <c r="M57" s="37" t="s">
        <v>86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3.5" customHeight="1" x14ac:dyDescent="0.3">
      <c r="A58" s="40" t="s">
        <v>114</v>
      </c>
      <c r="B58" s="68"/>
      <c r="C58" s="68"/>
      <c r="D58" s="40" t="s">
        <v>89</v>
      </c>
      <c r="E58" s="39" t="s">
        <v>115</v>
      </c>
      <c r="F58" s="39"/>
      <c r="G58" s="39"/>
      <c r="H58" s="57">
        <f t="shared" ref="H58:M58" si="41">H2</f>
        <v>2022</v>
      </c>
      <c r="I58" s="57">
        <f t="shared" si="41"/>
        <v>2023</v>
      </c>
      <c r="J58" s="57">
        <f t="shared" si="41"/>
        <v>2024</v>
      </c>
      <c r="K58" s="57">
        <f t="shared" si="41"/>
        <v>2025</v>
      </c>
      <c r="L58" s="57">
        <f t="shared" si="41"/>
        <v>2026</v>
      </c>
      <c r="M58" s="57">
        <f t="shared" si="41"/>
        <v>2027</v>
      </c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3.5" customHeight="1" x14ac:dyDescent="0.3">
      <c r="A59" s="43"/>
      <c r="B59" s="43"/>
      <c r="C59" s="43"/>
      <c r="D59" s="43"/>
      <c r="E59" s="44"/>
      <c r="F59" s="45"/>
      <c r="G59" s="45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3.5" customHeight="1" x14ac:dyDescent="0.3">
      <c r="A60" s="63" t="s">
        <v>116</v>
      </c>
      <c r="B60" s="43"/>
      <c r="C60" s="43"/>
      <c r="D60" s="43"/>
      <c r="E60" s="45" t="s">
        <v>117</v>
      </c>
      <c r="F60" s="45" t="s">
        <v>118</v>
      </c>
      <c r="G60" s="45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3.5" customHeight="1" x14ac:dyDescent="0.3">
      <c r="A61" s="43" t="str">
        <f t="shared" ref="A61:A70" si="42">A41</f>
        <v xml:space="preserve">Spirulina Bulk </v>
      </c>
      <c r="B61" s="43"/>
      <c r="C61" s="43"/>
      <c r="D61" s="43" t="s">
        <v>119</v>
      </c>
      <c r="E61" s="70">
        <f t="shared" ref="E61:E70" si="43">F61/1.1</f>
        <v>49.999999999999993</v>
      </c>
      <c r="F61" s="62">
        <v>55</v>
      </c>
      <c r="G61" s="62"/>
      <c r="H61" s="70">
        <f t="shared" ref="H61:H70" si="44">E61*(1+H$71)</f>
        <v>49.999999999999993</v>
      </c>
      <c r="I61" s="70">
        <f t="shared" ref="I61:M61" si="45">H61*(1+I$71)</f>
        <v>49.999999999999993</v>
      </c>
      <c r="J61" s="70">
        <f t="shared" si="45"/>
        <v>49.999999999999993</v>
      </c>
      <c r="K61" s="70">
        <f t="shared" si="45"/>
        <v>49.999999999999993</v>
      </c>
      <c r="L61" s="70">
        <f t="shared" si="45"/>
        <v>49.999999999999993</v>
      </c>
      <c r="M61" s="70">
        <f t="shared" si="45"/>
        <v>49.999999999999993</v>
      </c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3.5" customHeight="1" x14ac:dyDescent="0.3">
      <c r="A62" s="43" t="str">
        <f t="shared" si="42"/>
        <v>Protein from Spirulina Bulk</v>
      </c>
      <c r="B62" s="43"/>
      <c r="C62" s="43"/>
      <c r="D62" s="43" t="s">
        <v>119</v>
      </c>
      <c r="E62" s="70">
        <f t="shared" si="43"/>
        <v>20</v>
      </c>
      <c r="F62" s="62">
        <v>22</v>
      </c>
      <c r="G62" s="62"/>
      <c r="H62" s="70">
        <f t="shared" si="44"/>
        <v>20</v>
      </c>
      <c r="I62" s="70">
        <f t="shared" ref="I62:M62" si="46">H62*(1+I$71)</f>
        <v>20</v>
      </c>
      <c r="J62" s="70">
        <f t="shared" si="46"/>
        <v>20</v>
      </c>
      <c r="K62" s="70">
        <f t="shared" si="46"/>
        <v>20</v>
      </c>
      <c r="L62" s="70">
        <f t="shared" si="46"/>
        <v>20</v>
      </c>
      <c r="M62" s="70">
        <f t="shared" si="46"/>
        <v>20</v>
      </c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3.5" customHeight="1" x14ac:dyDescent="0.3">
      <c r="A63" s="43" t="str">
        <f t="shared" si="42"/>
        <v>Spirulina 50 g (tablets or spaghettini)</v>
      </c>
      <c r="B63" s="43"/>
      <c r="C63" s="43"/>
      <c r="D63" s="43" t="s">
        <v>119</v>
      </c>
      <c r="E63" s="70">
        <f t="shared" si="43"/>
        <v>20</v>
      </c>
      <c r="F63" s="62">
        <v>22</v>
      </c>
      <c r="G63" s="62"/>
      <c r="H63" s="70">
        <f t="shared" si="44"/>
        <v>20</v>
      </c>
      <c r="I63" s="70">
        <f t="shared" ref="I63:M63" si="47">H63*(1+I$71)</f>
        <v>20</v>
      </c>
      <c r="J63" s="70">
        <f t="shared" si="47"/>
        <v>20</v>
      </c>
      <c r="K63" s="70">
        <f t="shared" si="47"/>
        <v>20</v>
      </c>
      <c r="L63" s="70">
        <f t="shared" si="47"/>
        <v>20</v>
      </c>
      <c r="M63" s="70">
        <f t="shared" si="47"/>
        <v>20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3.5" customHeight="1" x14ac:dyDescent="0.3">
      <c r="A64" s="43" t="str">
        <f t="shared" si="42"/>
        <v>Alternative meat product</v>
      </c>
      <c r="B64" s="43"/>
      <c r="C64" s="43"/>
      <c r="D64" s="43" t="s">
        <v>119</v>
      </c>
      <c r="E64" s="70">
        <f t="shared" si="43"/>
        <v>4.545454545454545</v>
      </c>
      <c r="F64" s="62">
        <v>5</v>
      </c>
      <c r="G64" s="62"/>
      <c r="H64" s="70">
        <f t="shared" si="44"/>
        <v>4.545454545454545</v>
      </c>
      <c r="I64" s="70">
        <f t="shared" ref="I64:M64" si="48">H64*(1+I$71)</f>
        <v>4.545454545454545</v>
      </c>
      <c r="J64" s="70">
        <f t="shared" si="48"/>
        <v>4.545454545454545</v>
      </c>
      <c r="K64" s="70">
        <f t="shared" si="48"/>
        <v>4.545454545454545</v>
      </c>
      <c r="L64" s="70">
        <f t="shared" si="48"/>
        <v>4.545454545454545</v>
      </c>
      <c r="M64" s="70">
        <f t="shared" si="48"/>
        <v>4.545454545454545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3.5" customHeight="1" x14ac:dyDescent="0.3">
      <c r="A65" s="43" t="str">
        <f t="shared" si="42"/>
        <v>Barrette per Terzi</v>
      </c>
      <c r="B65" s="43"/>
      <c r="C65" s="43"/>
      <c r="D65" s="43" t="s">
        <v>119</v>
      </c>
      <c r="E65" s="70">
        <f t="shared" si="43"/>
        <v>0.5</v>
      </c>
      <c r="F65" s="62">
        <v>0.55000000000000004</v>
      </c>
      <c r="G65" s="62"/>
      <c r="H65" s="70">
        <f t="shared" si="44"/>
        <v>0.5</v>
      </c>
      <c r="I65" s="70">
        <f t="shared" ref="I65:I69" si="49">F65*(1+I$71)</f>
        <v>0.55000000000000004</v>
      </c>
      <c r="J65" s="70">
        <f t="shared" ref="J65:M65" si="50">H65*(1+J$71)</f>
        <v>0.5</v>
      </c>
      <c r="K65" s="70">
        <f t="shared" si="50"/>
        <v>0.55000000000000004</v>
      </c>
      <c r="L65" s="70">
        <f t="shared" si="50"/>
        <v>0.5</v>
      </c>
      <c r="M65" s="70">
        <f t="shared" si="50"/>
        <v>0.55000000000000004</v>
      </c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3.5" customHeight="1" x14ac:dyDescent="0.3">
      <c r="A66" s="43" t="str">
        <f t="shared" si="42"/>
        <v>Phycocyanin</v>
      </c>
      <c r="B66" s="43"/>
      <c r="C66" s="43"/>
      <c r="D66" s="43" t="s">
        <v>119</v>
      </c>
      <c r="E66" s="70">
        <f t="shared" si="43"/>
        <v>454.5454545454545</v>
      </c>
      <c r="F66" s="62">
        <v>500</v>
      </c>
      <c r="G66" s="62"/>
      <c r="H66" s="70">
        <f t="shared" si="44"/>
        <v>454.5454545454545</v>
      </c>
      <c r="I66" s="70">
        <f t="shared" si="49"/>
        <v>500</v>
      </c>
      <c r="J66" s="70">
        <f t="shared" ref="J66:M66" si="51">H66*(1+J$71)</f>
        <v>454.5454545454545</v>
      </c>
      <c r="K66" s="70">
        <f t="shared" si="51"/>
        <v>500</v>
      </c>
      <c r="L66" s="70">
        <f t="shared" si="51"/>
        <v>454.5454545454545</v>
      </c>
      <c r="M66" s="70">
        <f t="shared" si="51"/>
        <v>500</v>
      </c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3.5" customHeight="1" x14ac:dyDescent="0.3">
      <c r="A67" s="43" t="str">
        <f t="shared" si="42"/>
        <v>Barrette a marchio</v>
      </c>
      <c r="B67" s="43"/>
      <c r="C67" s="43"/>
      <c r="D67" s="43" t="s">
        <v>119</v>
      </c>
      <c r="E67" s="70">
        <f t="shared" si="43"/>
        <v>1.3636363636363635</v>
      </c>
      <c r="F67" s="62">
        <v>1.5</v>
      </c>
      <c r="G67" s="62"/>
      <c r="H67" s="70">
        <f t="shared" si="44"/>
        <v>1.3636363636363635</v>
      </c>
      <c r="I67" s="70">
        <f t="shared" si="49"/>
        <v>1.5</v>
      </c>
      <c r="J67" s="70">
        <f t="shared" ref="J67:M67" si="52">H67*(1+J$71)</f>
        <v>1.3636363636363635</v>
      </c>
      <c r="K67" s="70">
        <f t="shared" si="52"/>
        <v>1.5</v>
      </c>
      <c r="L67" s="70">
        <f t="shared" si="52"/>
        <v>1.3636363636363635</v>
      </c>
      <c r="M67" s="70">
        <f t="shared" si="52"/>
        <v>1.5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3.5" customHeight="1" x14ac:dyDescent="0.3">
      <c r="A68" s="43" t="str">
        <f t="shared" si="42"/>
        <v>Drink Funzionali</v>
      </c>
      <c r="B68" s="43"/>
      <c r="C68" s="43"/>
      <c r="D68" s="43" t="s">
        <v>119</v>
      </c>
      <c r="E68" s="70">
        <f t="shared" si="43"/>
        <v>2.6363636363636362</v>
      </c>
      <c r="F68" s="62">
        <v>2.9</v>
      </c>
      <c r="G68" s="62"/>
      <c r="H68" s="70">
        <f t="shared" si="44"/>
        <v>2.6363636363636362</v>
      </c>
      <c r="I68" s="70">
        <f t="shared" si="49"/>
        <v>2.9</v>
      </c>
      <c r="J68" s="70">
        <f t="shared" ref="J68:M68" si="53">H68*(1+J$71)</f>
        <v>2.6363636363636362</v>
      </c>
      <c r="K68" s="70">
        <f t="shared" si="53"/>
        <v>2.9</v>
      </c>
      <c r="L68" s="70">
        <f t="shared" si="53"/>
        <v>2.6363636363636362</v>
      </c>
      <c r="M68" s="70">
        <f t="shared" si="53"/>
        <v>2.9</v>
      </c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3.5" customHeight="1" x14ac:dyDescent="0.3">
      <c r="A69" s="43" t="str">
        <f t="shared" si="42"/>
        <v>Phycogel Antivirale</v>
      </c>
      <c r="B69" s="43"/>
      <c r="C69" s="43"/>
      <c r="D69" s="43" t="s">
        <v>119</v>
      </c>
      <c r="E69" s="70">
        <f t="shared" si="43"/>
        <v>18.18181818181818</v>
      </c>
      <c r="F69" s="62">
        <v>20</v>
      </c>
      <c r="G69" s="62"/>
      <c r="H69" s="70">
        <f t="shared" si="44"/>
        <v>18.18181818181818</v>
      </c>
      <c r="I69" s="70">
        <f t="shared" si="49"/>
        <v>20</v>
      </c>
      <c r="J69" s="70">
        <f t="shared" ref="J69:M69" si="54">H69*(1+J$71)</f>
        <v>18.18181818181818</v>
      </c>
      <c r="K69" s="70">
        <f t="shared" si="54"/>
        <v>20</v>
      </c>
      <c r="L69" s="70">
        <f t="shared" si="54"/>
        <v>18.18181818181818</v>
      </c>
      <c r="M69" s="70">
        <f t="shared" si="54"/>
        <v>20</v>
      </c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3.5" customHeight="1" x14ac:dyDescent="0.3">
      <c r="A70" s="43" t="str">
        <f t="shared" si="42"/>
        <v>XXX</v>
      </c>
      <c r="B70" s="43"/>
      <c r="C70" s="43"/>
      <c r="D70" s="43" t="s">
        <v>119</v>
      </c>
      <c r="E70" s="70">
        <f t="shared" si="43"/>
        <v>0</v>
      </c>
      <c r="F70" s="62"/>
      <c r="G70" s="62"/>
      <c r="H70" s="70">
        <f t="shared" si="44"/>
        <v>0</v>
      </c>
      <c r="I70" s="70">
        <f t="shared" ref="I70:M70" si="55">H70*(1+I$71)</f>
        <v>0</v>
      </c>
      <c r="J70" s="70">
        <f t="shared" si="55"/>
        <v>0</v>
      </c>
      <c r="K70" s="70">
        <f t="shared" si="55"/>
        <v>0</v>
      </c>
      <c r="L70" s="70">
        <f t="shared" si="55"/>
        <v>0</v>
      </c>
      <c r="M70" s="70">
        <f t="shared" si="55"/>
        <v>0</v>
      </c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3.5" customHeight="1" x14ac:dyDescent="0.3">
      <c r="A71" s="71" t="s">
        <v>120</v>
      </c>
      <c r="B71" s="71"/>
      <c r="C71" s="71"/>
      <c r="D71" s="71" t="s">
        <v>121</v>
      </c>
      <c r="E71" s="72">
        <v>0</v>
      </c>
      <c r="F71" s="73"/>
      <c r="G71" s="73"/>
      <c r="H71" s="72">
        <v>0</v>
      </c>
      <c r="I71" s="74">
        <f>E71</f>
        <v>0</v>
      </c>
      <c r="J71" s="74">
        <f t="shared" ref="J71:M71" si="56">I71</f>
        <v>0</v>
      </c>
      <c r="K71" s="74">
        <f t="shared" si="56"/>
        <v>0</v>
      </c>
      <c r="L71" s="74">
        <f t="shared" si="56"/>
        <v>0</v>
      </c>
      <c r="M71" s="74">
        <f t="shared" si="56"/>
        <v>0</v>
      </c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3.5" customHeight="1" x14ac:dyDescent="0.3">
      <c r="A72" s="43"/>
      <c r="B72" s="43"/>
      <c r="C72" s="43"/>
      <c r="D72" s="43"/>
      <c r="E72" s="44"/>
      <c r="F72" s="45"/>
      <c r="G72" s="4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3.5" customHeight="1" x14ac:dyDescent="0.3">
      <c r="A73" s="63" t="s">
        <v>122</v>
      </c>
      <c r="B73" s="43"/>
      <c r="C73" s="76">
        <v>0.3</v>
      </c>
      <c r="D73" s="76">
        <v>0.2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3.5" customHeight="1" x14ac:dyDescent="0.3">
      <c r="A74" s="43" t="str">
        <f t="shared" ref="A74:A82" si="57">A61</f>
        <v xml:space="preserve">Spirulina Bulk </v>
      </c>
      <c r="B74" s="43" t="s">
        <v>123</v>
      </c>
      <c r="C74" s="43"/>
      <c r="D74" s="43" t="s">
        <v>119</v>
      </c>
      <c r="E74" s="70">
        <f t="shared" ref="E74:E75" si="58">E61</f>
        <v>49.999999999999993</v>
      </c>
      <c r="F74" s="45"/>
      <c r="G74" s="45"/>
      <c r="H74" s="70">
        <f t="shared" ref="H74:H82" si="59">E74*(1+H$83)</f>
        <v>49.999999999999993</v>
      </c>
      <c r="I74" s="70">
        <f t="shared" ref="I74:M74" si="60">H74*(1+I$83)</f>
        <v>49.999999999999993</v>
      </c>
      <c r="J74" s="70">
        <f t="shared" si="60"/>
        <v>49.999999999999993</v>
      </c>
      <c r="K74" s="70">
        <f t="shared" si="60"/>
        <v>49.999999999999993</v>
      </c>
      <c r="L74" s="70">
        <f t="shared" si="60"/>
        <v>49.999999999999993</v>
      </c>
      <c r="M74" s="70">
        <f t="shared" si="60"/>
        <v>49.999999999999993</v>
      </c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3.5" customHeight="1" x14ac:dyDescent="0.3">
      <c r="A75" s="43" t="str">
        <f t="shared" si="57"/>
        <v>Protein from Spirulina Bulk</v>
      </c>
      <c r="B75" s="43" t="s">
        <v>123</v>
      </c>
      <c r="C75" s="43"/>
      <c r="D75" s="43" t="s">
        <v>119</v>
      </c>
      <c r="E75" s="70">
        <f t="shared" si="58"/>
        <v>20</v>
      </c>
      <c r="F75" s="45"/>
      <c r="G75" s="45"/>
      <c r="H75" s="70">
        <f t="shared" si="59"/>
        <v>20</v>
      </c>
      <c r="I75" s="70">
        <f t="shared" ref="I75:M75" si="61">H75*(1+I$83)</f>
        <v>20</v>
      </c>
      <c r="J75" s="70">
        <f t="shared" si="61"/>
        <v>20</v>
      </c>
      <c r="K75" s="70">
        <f t="shared" si="61"/>
        <v>20</v>
      </c>
      <c r="L75" s="70">
        <f t="shared" si="61"/>
        <v>20</v>
      </c>
      <c r="M75" s="70">
        <f t="shared" si="61"/>
        <v>20</v>
      </c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3.5" customHeight="1" x14ac:dyDescent="0.3">
      <c r="A76" s="43" t="str">
        <f t="shared" si="57"/>
        <v>Spirulina 50 g (tablets or spaghettini)</v>
      </c>
      <c r="B76" s="43"/>
      <c r="C76" s="43"/>
      <c r="D76" s="43" t="s">
        <v>119</v>
      </c>
      <c r="E76" s="70">
        <f t="shared" ref="E76:E78" si="62">(E63-(E63*$D$73))-(E63-(E63*$D$73))*$C$73</f>
        <v>11.2</v>
      </c>
      <c r="F76" s="45"/>
      <c r="G76" s="45"/>
      <c r="H76" s="70">
        <f t="shared" si="59"/>
        <v>11.2</v>
      </c>
      <c r="I76" s="70">
        <f t="shared" ref="I76:M76" si="63">H76*(1+I$83)</f>
        <v>11.2</v>
      </c>
      <c r="J76" s="70">
        <f t="shared" si="63"/>
        <v>11.2</v>
      </c>
      <c r="K76" s="70">
        <f t="shared" si="63"/>
        <v>11.2</v>
      </c>
      <c r="L76" s="70">
        <f t="shared" si="63"/>
        <v>11.2</v>
      </c>
      <c r="M76" s="70">
        <f t="shared" si="63"/>
        <v>11.2</v>
      </c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3.5" customHeight="1" x14ac:dyDescent="0.3">
      <c r="A77" s="43" t="str">
        <f t="shared" si="57"/>
        <v>Alternative meat product</v>
      </c>
      <c r="B77" s="43"/>
      <c r="C77" s="43"/>
      <c r="D77" s="43" t="s">
        <v>119</v>
      </c>
      <c r="E77" s="70">
        <f t="shared" si="62"/>
        <v>2.545454545454545</v>
      </c>
      <c r="F77" s="45"/>
      <c r="G77" s="45"/>
      <c r="H77" s="70">
        <f t="shared" si="59"/>
        <v>2.545454545454545</v>
      </c>
      <c r="I77" s="70">
        <f t="shared" ref="I77:M77" si="64">H77*(1+I$83)</f>
        <v>2.545454545454545</v>
      </c>
      <c r="J77" s="70">
        <f t="shared" si="64"/>
        <v>2.545454545454545</v>
      </c>
      <c r="K77" s="70">
        <f t="shared" si="64"/>
        <v>2.545454545454545</v>
      </c>
      <c r="L77" s="70">
        <f t="shared" si="64"/>
        <v>2.545454545454545</v>
      </c>
      <c r="M77" s="70">
        <f t="shared" si="64"/>
        <v>2.545454545454545</v>
      </c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3.5" customHeight="1" x14ac:dyDescent="0.3">
      <c r="A78" s="43" t="str">
        <f t="shared" si="57"/>
        <v>Barrette per Terzi</v>
      </c>
      <c r="B78" s="43"/>
      <c r="C78" s="43"/>
      <c r="D78" s="43" t="s">
        <v>119</v>
      </c>
      <c r="E78" s="70">
        <f t="shared" si="62"/>
        <v>0.28000000000000003</v>
      </c>
      <c r="F78" s="45"/>
      <c r="G78" s="45"/>
      <c r="H78" s="70">
        <f t="shared" si="59"/>
        <v>0.28000000000000003</v>
      </c>
      <c r="I78" s="70">
        <f t="shared" ref="I78:M78" si="65">H78*(1+I$83)</f>
        <v>0.28000000000000003</v>
      </c>
      <c r="J78" s="70">
        <f t="shared" si="65"/>
        <v>0.28000000000000003</v>
      </c>
      <c r="K78" s="70">
        <f t="shared" si="65"/>
        <v>0.28000000000000003</v>
      </c>
      <c r="L78" s="70">
        <f t="shared" si="65"/>
        <v>0.28000000000000003</v>
      </c>
      <c r="M78" s="70">
        <f t="shared" si="65"/>
        <v>0.28000000000000003</v>
      </c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3.5" customHeight="1" x14ac:dyDescent="0.3">
      <c r="A79" s="43" t="str">
        <f t="shared" si="57"/>
        <v>Phycocyanin</v>
      </c>
      <c r="B79" s="43" t="s">
        <v>123</v>
      </c>
      <c r="C79" s="43"/>
      <c r="D79" s="43" t="s">
        <v>119</v>
      </c>
      <c r="E79" s="70">
        <f>E66</f>
        <v>454.5454545454545</v>
      </c>
      <c r="F79" s="45"/>
      <c r="G79" s="45"/>
      <c r="H79" s="70">
        <f t="shared" si="59"/>
        <v>454.5454545454545</v>
      </c>
      <c r="I79" s="70">
        <f t="shared" ref="I79:M79" si="66">H79*(1+I$83)</f>
        <v>454.5454545454545</v>
      </c>
      <c r="J79" s="70">
        <f t="shared" si="66"/>
        <v>454.5454545454545</v>
      </c>
      <c r="K79" s="70">
        <f t="shared" si="66"/>
        <v>454.5454545454545</v>
      </c>
      <c r="L79" s="70">
        <f t="shared" si="66"/>
        <v>454.5454545454545</v>
      </c>
      <c r="M79" s="70">
        <f t="shared" si="66"/>
        <v>454.5454545454545</v>
      </c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3.5" customHeight="1" x14ac:dyDescent="0.3">
      <c r="A80" s="43" t="str">
        <f t="shared" si="57"/>
        <v>Barrette a marchio</v>
      </c>
      <c r="B80" s="43"/>
      <c r="C80" s="43"/>
      <c r="D80" s="43" t="s">
        <v>119</v>
      </c>
      <c r="E80" s="70">
        <f t="shared" ref="E80:E82" si="67">(E67-(E67*$D$73))-(E67-(E67*$D$73))*$C$73</f>
        <v>0.76363636363636367</v>
      </c>
      <c r="F80" s="45"/>
      <c r="G80" s="45"/>
      <c r="H80" s="70">
        <f t="shared" si="59"/>
        <v>0.76363636363636367</v>
      </c>
      <c r="I80" s="70">
        <f t="shared" ref="I80:M80" si="68">H80*(1+I$83)</f>
        <v>0.76363636363636367</v>
      </c>
      <c r="J80" s="70">
        <f t="shared" si="68"/>
        <v>0.76363636363636367</v>
      </c>
      <c r="K80" s="70">
        <f t="shared" si="68"/>
        <v>0.76363636363636367</v>
      </c>
      <c r="L80" s="70">
        <f t="shared" si="68"/>
        <v>0.76363636363636367</v>
      </c>
      <c r="M80" s="70">
        <f t="shared" si="68"/>
        <v>0.76363636363636367</v>
      </c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3.5" customHeight="1" x14ac:dyDescent="0.3">
      <c r="A81" s="43" t="str">
        <f t="shared" si="57"/>
        <v>Drink Funzionali</v>
      </c>
      <c r="B81" s="43"/>
      <c r="C81" s="43"/>
      <c r="D81" s="43" t="s">
        <v>119</v>
      </c>
      <c r="E81" s="70">
        <f t="shared" si="67"/>
        <v>1.4763636363636361</v>
      </c>
      <c r="F81" s="45"/>
      <c r="G81" s="45"/>
      <c r="H81" s="70">
        <f t="shared" si="59"/>
        <v>1.4763636363636361</v>
      </c>
      <c r="I81" s="70">
        <f t="shared" ref="I81:M81" si="69">H81*(1+I$83)</f>
        <v>1.4763636363636361</v>
      </c>
      <c r="J81" s="70">
        <f t="shared" si="69"/>
        <v>1.4763636363636361</v>
      </c>
      <c r="K81" s="70">
        <f t="shared" si="69"/>
        <v>1.4763636363636361</v>
      </c>
      <c r="L81" s="70">
        <f t="shared" si="69"/>
        <v>1.4763636363636361</v>
      </c>
      <c r="M81" s="70">
        <f t="shared" si="69"/>
        <v>1.4763636363636361</v>
      </c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3.5" customHeight="1" x14ac:dyDescent="0.3">
      <c r="A82" s="43" t="str">
        <f t="shared" si="57"/>
        <v>Phycogel Antivirale</v>
      </c>
      <c r="B82" s="43"/>
      <c r="C82" s="43"/>
      <c r="D82" s="43" t="s">
        <v>119</v>
      </c>
      <c r="E82" s="70">
        <f t="shared" si="67"/>
        <v>10.18181818181818</v>
      </c>
      <c r="F82" s="45"/>
      <c r="G82" s="45"/>
      <c r="H82" s="70">
        <f t="shared" si="59"/>
        <v>10.18181818181818</v>
      </c>
      <c r="I82" s="70">
        <f t="shared" ref="I82:M82" si="70">H82*(1+I$83)</f>
        <v>10.18181818181818</v>
      </c>
      <c r="J82" s="70">
        <f t="shared" si="70"/>
        <v>10.18181818181818</v>
      </c>
      <c r="K82" s="70">
        <f t="shared" si="70"/>
        <v>10.18181818181818</v>
      </c>
      <c r="L82" s="70">
        <f t="shared" si="70"/>
        <v>10.18181818181818</v>
      </c>
      <c r="M82" s="70">
        <f t="shared" si="70"/>
        <v>10.18181818181818</v>
      </c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3.5" customHeight="1" x14ac:dyDescent="0.3">
      <c r="A83" s="71" t="s">
        <v>124</v>
      </c>
      <c r="B83" s="71"/>
      <c r="C83" s="71"/>
      <c r="D83" s="71" t="s">
        <v>121</v>
      </c>
      <c r="E83" s="72">
        <v>0</v>
      </c>
      <c r="F83" s="73"/>
      <c r="G83" s="73"/>
      <c r="H83" s="72">
        <v>0</v>
      </c>
      <c r="I83" s="74">
        <f>E83</f>
        <v>0</v>
      </c>
      <c r="J83" s="74">
        <f>I83</f>
        <v>0</v>
      </c>
      <c r="K83" s="72">
        <v>0</v>
      </c>
      <c r="L83" s="72">
        <v>0</v>
      </c>
      <c r="M83" s="72">
        <v>0</v>
      </c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3.5" customHeight="1" x14ac:dyDescent="0.3">
      <c r="A84" s="43"/>
      <c r="B84" s="43"/>
      <c r="C84" s="43"/>
      <c r="D84" s="43"/>
      <c r="E84" s="44"/>
      <c r="F84" s="45"/>
      <c r="G84" s="45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3.5" customHeight="1" x14ac:dyDescent="0.3">
      <c r="A85" s="63" t="s">
        <v>125</v>
      </c>
      <c r="B85" s="46"/>
      <c r="C85" s="43"/>
      <c r="D85" s="77" t="s">
        <v>126</v>
      </c>
      <c r="E85" s="77" t="s">
        <v>127</v>
      </c>
      <c r="F85" s="77" t="s">
        <v>128</v>
      </c>
      <c r="G85" s="77"/>
      <c r="H85" s="77" t="s">
        <v>129</v>
      </c>
      <c r="I85" s="46"/>
      <c r="J85" s="77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3.5" customHeight="1" x14ac:dyDescent="0.3">
      <c r="A86" s="43" t="str">
        <f t="shared" ref="A86:A94" si="71">A74</f>
        <v xml:space="preserve">Spirulina Bulk </v>
      </c>
      <c r="B86" s="46"/>
      <c r="C86" s="43"/>
      <c r="D86" s="44">
        <v>1000</v>
      </c>
      <c r="E86" s="70">
        <f t="shared" ref="E86:E88" si="72">E74</f>
        <v>49.999999999999993</v>
      </c>
      <c r="F86" s="70">
        <f t="shared" ref="F86:F94" si="73">IF(D86&lt;&gt;0,E86/D86,0)</f>
        <v>4.9999999999999996E-2</v>
      </c>
      <c r="G86" s="70"/>
      <c r="H86" s="70">
        <f t="shared" ref="H86:H94" si="74">F86*1000</f>
        <v>49.999999999999993</v>
      </c>
      <c r="I86" s="46"/>
      <c r="J86" s="44"/>
      <c r="K86" s="70"/>
      <c r="L86" s="70"/>
      <c r="M86" s="70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3.5" customHeight="1" x14ac:dyDescent="0.3">
      <c r="A87" s="43" t="str">
        <f t="shared" si="71"/>
        <v>Protein from Spirulina Bulk</v>
      </c>
      <c r="B87" s="46"/>
      <c r="C87" s="43"/>
      <c r="D87" s="44">
        <v>1000</v>
      </c>
      <c r="E87" s="70">
        <f t="shared" si="72"/>
        <v>20</v>
      </c>
      <c r="F87" s="70">
        <f t="shared" si="73"/>
        <v>0.02</v>
      </c>
      <c r="G87" s="70"/>
      <c r="H87" s="70">
        <f t="shared" si="74"/>
        <v>20</v>
      </c>
      <c r="I87" s="46"/>
      <c r="J87" s="44"/>
      <c r="K87" s="70"/>
      <c r="L87" s="70"/>
      <c r="M87" s="70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3.5" customHeight="1" x14ac:dyDescent="0.3">
      <c r="A88" s="43" t="str">
        <f t="shared" si="71"/>
        <v>Spirulina 50 g (tablets or spaghettini)</v>
      </c>
      <c r="B88" s="46"/>
      <c r="C88" s="43"/>
      <c r="D88" s="44">
        <v>50</v>
      </c>
      <c r="E88" s="70">
        <f t="shared" si="72"/>
        <v>11.2</v>
      </c>
      <c r="F88" s="70">
        <f t="shared" si="73"/>
        <v>0.22399999999999998</v>
      </c>
      <c r="G88" s="70"/>
      <c r="H88" s="70">
        <f t="shared" si="74"/>
        <v>223.99999999999997</v>
      </c>
      <c r="I88" s="46"/>
      <c r="J88" s="44"/>
      <c r="K88" s="70"/>
      <c r="L88" s="70"/>
      <c r="M88" s="70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3.5" customHeight="1" x14ac:dyDescent="0.3">
      <c r="A89" s="43" t="str">
        <f t="shared" si="71"/>
        <v>Alternative meat product</v>
      </c>
      <c r="B89" s="46"/>
      <c r="C89" s="43"/>
      <c r="D89" s="44">
        <v>220</v>
      </c>
      <c r="E89" s="70">
        <f t="shared" ref="E89:E90" si="75">E77*100/5</f>
        <v>50.909090909090899</v>
      </c>
      <c r="F89" s="70">
        <f t="shared" si="73"/>
        <v>0.2314049586776859</v>
      </c>
      <c r="G89" s="70"/>
      <c r="H89" s="70">
        <f t="shared" si="74"/>
        <v>231.4049586776859</v>
      </c>
      <c r="I89" s="46"/>
      <c r="J89" s="44"/>
      <c r="K89" s="70"/>
      <c r="L89" s="70"/>
      <c r="M89" s="70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3.5" customHeight="1" x14ac:dyDescent="0.3">
      <c r="A90" s="43" t="str">
        <f t="shared" si="71"/>
        <v>Barrette per Terzi</v>
      </c>
      <c r="B90" s="46"/>
      <c r="C90" s="43"/>
      <c r="D90" s="44">
        <v>100</v>
      </c>
      <c r="E90" s="70">
        <f t="shared" si="75"/>
        <v>5.6000000000000005</v>
      </c>
      <c r="F90" s="70">
        <f t="shared" si="73"/>
        <v>5.6000000000000008E-2</v>
      </c>
      <c r="G90" s="70"/>
      <c r="H90" s="70">
        <f t="shared" si="74"/>
        <v>56.000000000000007</v>
      </c>
      <c r="I90" s="46"/>
      <c r="J90" s="44"/>
      <c r="K90" s="70"/>
      <c r="L90" s="70"/>
      <c r="M90" s="70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3.5" customHeight="1" x14ac:dyDescent="0.3">
      <c r="A91" s="43" t="str">
        <f t="shared" si="71"/>
        <v>Phycocyanin</v>
      </c>
      <c r="B91" s="46"/>
      <c r="C91" s="43"/>
      <c r="D91" s="44">
        <v>1000</v>
      </c>
      <c r="E91" s="70">
        <f t="shared" ref="E91:E94" si="76">E79</f>
        <v>454.5454545454545</v>
      </c>
      <c r="F91" s="70">
        <f t="shared" si="73"/>
        <v>0.45454545454545453</v>
      </c>
      <c r="G91" s="70"/>
      <c r="H91" s="70">
        <f t="shared" si="74"/>
        <v>454.5454545454545</v>
      </c>
      <c r="I91" s="46"/>
      <c r="J91" s="44"/>
      <c r="K91" s="70"/>
      <c r="L91" s="70"/>
      <c r="M91" s="70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3.5" customHeight="1" x14ac:dyDescent="0.3">
      <c r="A92" s="43" t="str">
        <f t="shared" si="71"/>
        <v>Barrette a marchio</v>
      </c>
      <c r="B92" s="46"/>
      <c r="C92" s="43"/>
      <c r="D92" s="44">
        <v>26</v>
      </c>
      <c r="E92" s="70">
        <f t="shared" si="76"/>
        <v>0.76363636363636367</v>
      </c>
      <c r="F92" s="70">
        <f t="shared" si="73"/>
        <v>2.9370629370629373E-2</v>
      </c>
      <c r="G92" s="70"/>
      <c r="H92" s="70">
        <f t="shared" si="74"/>
        <v>29.370629370629374</v>
      </c>
      <c r="I92" s="46"/>
      <c r="J92" s="44"/>
      <c r="K92" s="70"/>
      <c r="L92" s="70"/>
      <c r="M92" s="70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3.5" customHeight="1" x14ac:dyDescent="0.3">
      <c r="A93" s="43" t="str">
        <f t="shared" si="71"/>
        <v>Drink Funzionali</v>
      </c>
      <c r="B93" s="46"/>
      <c r="C93" s="43"/>
      <c r="D93" s="44">
        <v>100</v>
      </c>
      <c r="E93" s="70">
        <f t="shared" si="76"/>
        <v>1.4763636363636361</v>
      </c>
      <c r="F93" s="70">
        <f t="shared" si="73"/>
        <v>1.4763636363636361E-2</v>
      </c>
      <c r="G93" s="70"/>
      <c r="H93" s="70">
        <f t="shared" si="74"/>
        <v>14.76363636363636</v>
      </c>
      <c r="I93" s="46"/>
      <c r="J93" s="44"/>
      <c r="K93" s="70"/>
      <c r="L93" s="70"/>
      <c r="M93" s="70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3.5" customHeight="1" x14ac:dyDescent="0.3">
      <c r="A94" s="43" t="str">
        <f t="shared" si="71"/>
        <v>Phycogel Antivirale</v>
      </c>
      <c r="B94" s="46"/>
      <c r="C94" s="43"/>
      <c r="D94" s="44">
        <v>100</v>
      </c>
      <c r="E94" s="70">
        <f t="shared" si="76"/>
        <v>10.18181818181818</v>
      </c>
      <c r="F94" s="70">
        <f t="shared" si="73"/>
        <v>0.10181818181818179</v>
      </c>
      <c r="G94" s="70"/>
      <c r="H94" s="70">
        <f t="shared" si="74"/>
        <v>101.8181818181818</v>
      </c>
      <c r="I94" s="46"/>
      <c r="J94" s="44"/>
      <c r="K94" s="70"/>
      <c r="L94" s="70"/>
      <c r="M94" s="70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3.5" customHeight="1" x14ac:dyDescent="0.3">
      <c r="A95" s="43"/>
      <c r="B95" s="46"/>
      <c r="C95" s="43"/>
      <c r="D95" s="46"/>
      <c r="E95" s="70"/>
      <c r="F95" s="70"/>
      <c r="G95" s="70"/>
      <c r="H95" s="70"/>
      <c r="I95" s="46"/>
      <c r="J95" s="44"/>
      <c r="K95" s="70"/>
      <c r="L95" s="70"/>
      <c r="M95" s="70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3.5" customHeight="1" x14ac:dyDescent="0.3">
      <c r="A96" s="63" t="s">
        <v>130</v>
      </c>
      <c r="B96" s="43"/>
      <c r="C96" s="48"/>
      <c r="D96" s="76">
        <v>0.6</v>
      </c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3.5" customHeight="1" x14ac:dyDescent="0.3">
      <c r="A97" s="43" t="str">
        <f t="shared" ref="A97:A105" si="77">A86</f>
        <v xml:space="preserve">Spirulina Bulk </v>
      </c>
      <c r="B97" s="43"/>
      <c r="C97" s="43"/>
      <c r="D97" s="43" t="s">
        <v>119</v>
      </c>
      <c r="E97" s="70"/>
      <c r="F97" s="45"/>
      <c r="G97" s="45"/>
      <c r="H97" s="70">
        <f t="shared" ref="H97:H105" si="78">E97*(1+H$83)</f>
        <v>0</v>
      </c>
      <c r="I97" s="70">
        <f t="shared" ref="I97:M97" si="79">H97*(1+I$83)</f>
        <v>0</v>
      </c>
      <c r="J97" s="70">
        <f t="shared" si="79"/>
        <v>0</v>
      </c>
      <c r="K97" s="70">
        <f t="shared" si="79"/>
        <v>0</v>
      </c>
      <c r="L97" s="70">
        <f t="shared" si="79"/>
        <v>0</v>
      </c>
      <c r="M97" s="70">
        <f t="shared" si="79"/>
        <v>0</v>
      </c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3.5" customHeight="1" x14ac:dyDescent="0.3">
      <c r="A98" s="43" t="str">
        <f t="shared" si="77"/>
        <v>Protein from Spirulina Bulk</v>
      </c>
      <c r="B98" s="43"/>
      <c r="C98" s="43"/>
      <c r="D98" s="43" t="s">
        <v>119</v>
      </c>
      <c r="E98" s="70"/>
      <c r="F98" s="45"/>
      <c r="G98" s="45"/>
      <c r="H98" s="70">
        <f t="shared" si="78"/>
        <v>0</v>
      </c>
      <c r="I98" s="70">
        <f t="shared" ref="I98:M98" si="80">H98*(1+I$83)</f>
        <v>0</v>
      </c>
      <c r="J98" s="70">
        <f t="shared" si="80"/>
        <v>0</v>
      </c>
      <c r="K98" s="70">
        <f t="shared" si="80"/>
        <v>0</v>
      </c>
      <c r="L98" s="70">
        <f t="shared" si="80"/>
        <v>0</v>
      </c>
      <c r="M98" s="70">
        <f t="shared" si="80"/>
        <v>0</v>
      </c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3.5" customHeight="1" x14ac:dyDescent="0.3">
      <c r="A99" s="43" t="str">
        <f t="shared" si="77"/>
        <v>Spirulina 50 g (tablets or spaghettini)</v>
      </c>
      <c r="B99" s="43"/>
      <c r="C99" s="43"/>
      <c r="D99" s="43" t="s">
        <v>119</v>
      </c>
      <c r="E99" s="70">
        <f t="shared" ref="E99:E101" si="81">E63*$D$96</f>
        <v>12</v>
      </c>
      <c r="F99" s="45"/>
      <c r="G99" s="45"/>
      <c r="H99" s="70">
        <f t="shared" si="78"/>
        <v>12</v>
      </c>
      <c r="I99" s="70">
        <f t="shared" ref="I99:M99" si="82">H99*(1+I$83)</f>
        <v>12</v>
      </c>
      <c r="J99" s="70">
        <f t="shared" si="82"/>
        <v>12</v>
      </c>
      <c r="K99" s="70">
        <f t="shared" si="82"/>
        <v>12</v>
      </c>
      <c r="L99" s="70">
        <f t="shared" si="82"/>
        <v>12</v>
      </c>
      <c r="M99" s="70">
        <f t="shared" si="82"/>
        <v>12</v>
      </c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3.5" customHeight="1" x14ac:dyDescent="0.3">
      <c r="A100" s="43" t="str">
        <f t="shared" si="77"/>
        <v>Alternative meat product</v>
      </c>
      <c r="B100" s="43"/>
      <c r="C100" s="43"/>
      <c r="D100" s="43" t="s">
        <v>119</v>
      </c>
      <c r="E100" s="70">
        <f t="shared" si="81"/>
        <v>2.7272727272727271</v>
      </c>
      <c r="F100" s="45"/>
      <c r="G100" s="45"/>
      <c r="H100" s="70">
        <f t="shared" si="78"/>
        <v>2.7272727272727271</v>
      </c>
      <c r="I100" s="70">
        <f t="shared" ref="I100:M100" si="83">H100*(1+I$83)</f>
        <v>2.7272727272727271</v>
      </c>
      <c r="J100" s="70">
        <f t="shared" si="83"/>
        <v>2.7272727272727271</v>
      </c>
      <c r="K100" s="70">
        <f t="shared" si="83"/>
        <v>2.7272727272727271</v>
      </c>
      <c r="L100" s="70">
        <f t="shared" si="83"/>
        <v>2.7272727272727271</v>
      </c>
      <c r="M100" s="70">
        <f t="shared" si="83"/>
        <v>2.7272727272727271</v>
      </c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3.5" customHeight="1" x14ac:dyDescent="0.3">
      <c r="A101" s="43" t="str">
        <f t="shared" si="77"/>
        <v>Barrette per Terzi</v>
      </c>
      <c r="B101" s="43"/>
      <c r="C101" s="43"/>
      <c r="D101" s="43" t="s">
        <v>119</v>
      </c>
      <c r="E101" s="70">
        <f t="shared" si="81"/>
        <v>0.3</v>
      </c>
      <c r="F101" s="45"/>
      <c r="G101" s="45"/>
      <c r="H101" s="70">
        <f t="shared" si="78"/>
        <v>0.3</v>
      </c>
      <c r="I101" s="70">
        <f t="shared" ref="I101:M101" si="84">H101*(1+I$83)</f>
        <v>0.3</v>
      </c>
      <c r="J101" s="70">
        <f t="shared" si="84"/>
        <v>0.3</v>
      </c>
      <c r="K101" s="70">
        <f t="shared" si="84"/>
        <v>0.3</v>
      </c>
      <c r="L101" s="70">
        <f t="shared" si="84"/>
        <v>0.3</v>
      </c>
      <c r="M101" s="70">
        <f t="shared" si="84"/>
        <v>0.3</v>
      </c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3.5" customHeight="1" x14ac:dyDescent="0.3">
      <c r="A102" s="43" t="str">
        <f t="shared" si="77"/>
        <v>Phycocyanin</v>
      </c>
      <c r="B102" s="43"/>
      <c r="C102" s="43"/>
      <c r="D102" s="43" t="s">
        <v>119</v>
      </c>
      <c r="E102" s="70"/>
      <c r="F102" s="45"/>
      <c r="G102" s="45"/>
      <c r="H102" s="70">
        <f t="shared" si="78"/>
        <v>0</v>
      </c>
      <c r="I102" s="70">
        <f t="shared" ref="I102:M102" si="85">H102*(1+I$83)</f>
        <v>0</v>
      </c>
      <c r="J102" s="70">
        <f t="shared" si="85"/>
        <v>0</v>
      </c>
      <c r="K102" s="70">
        <f t="shared" si="85"/>
        <v>0</v>
      </c>
      <c r="L102" s="70">
        <f t="shared" si="85"/>
        <v>0</v>
      </c>
      <c r="M102" s="70">
        <f t="shared" si="85"/>
        <v>0</v>
      </c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3.5" customHeight="1" x14ac:dyDescent="0.3">
      <c r="A103" s="43" t="str">
        <f t="shared" si="77"/>
        <v>Barrette a marchio</v>
      </c>
      <c r="B103" s="43"/>
      <c r="C103" s="43"/>
      <c r="D103" s="43" t="s">
        <v>119</v>
      </c>
      <c r="E103" s="70">
        <f t="shared" ref="E103:E105" si="86">E67*$D$96</f>
        <v>0.81818181818181812</v>
      </c>
      <c r="F103" s="45"/>
      <c r="G103" s="45"/>
      <c r="H103" s="70">
        <f t="shared" si="78"/>
        <v>0.81818181818181812</v>
      </c>
      <c r="I103" s="70">
        <f t="shared" ref="I103:M103" si="87">H103*(1+I$83)</f>
        <v>0.81818181818181812</v>
      </c>
      <c r="J103" s="70">
        <f t="shared" si="87"/>
        <v>0.81818181818181812</v>
      </c>
      <c r="K103" s="70">
        <f t="shared" si="87"/>
        <v>0.81818181818181812</v>
      </c>
      <c r="L103" s="70">
        <f t="shared" si="87"/>
        <v>0.81818181818181812</v>
      </c>
      <c r="M103" s="70">
        <f t="shared" si="87"/>
        <v>0.81818181818181812</v>
      </c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3.5" customHeight="1" x14ac:dyDescent="0.3">
      <c r="A104" s="43" t="str">
        <f t="shared" si="77"/>
        <v>Drink Funzionali</v>
      </c>
      <c r="B104" s="43"/>
      <c r="C104" s="43"/>
      <c r="D104" s="43" t="s">
        <v>119</v>
      </c>
      <c r="E104" s="70">
        <f t="shared" si="86"/>
        <v>1.5818181818181818</v>
      </c>
      <c r="F104" s="45"/>
      <c r="G104" s="45"/>
      <c r="H104" s="70">
        <f t="shared" si="78"/>
        <v>1.5818181818181818</v>
      </c>
      <c r="I104" s="70">
        <f t="shared" ref="I104:M104" si="88">H104*(1+I$83)</f>
        <v>1.5818181818181818</v>
      </c>
      <c r="J104" s="70">
        <f t="shared" si="88"/>
        <v>1.5818181818181818</v>
      </c>
      <c r="K104" s="70">
        <f t="shared" si="88"/>
        <v>1.5818181818181818</v>
      </c>
      <c r="L104" s="70">
        <f t="shared" si="88"/>
        <v>1.5818181818181818</v>
      </c>
      <c r="M104" s="70">
        <f t="shared" si="88"/>
        <v>1.5818181818181818</v>
      </c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3.5" customHeight="1" x14ac:dyDescent="0.3">
      <c r="A105" s="43" t="str">
        <f t="shared" si="77"/>
        <v>Phycogel Antivirale</v>
      </c>
      <c r="B105" s="43"/>
      <c r="C105" s="43"/>
      <c r="D105" s="43" t="s">
        <v>119</v>
      </c>
      <c r="E105" s="70">
        <f t="shared" si="86"/>
        <v>10.909090909090908</v>
      </c>
      <c r="F105" s="45"/>
      <c r="G105" s="45"/>
      <c r="H105" s="70">
        <f t="shared" si="78"/>
        <v>10.909090909090908</v>
      </c>
      <c r="I105" s="70">
        <f t="shared" ref="I105:M105" si="89">H105*(1+I$83)</f>
        <v>10.909090909090908</v>
      </c>
      <c r="J105" s="70">
        <f t="shared" si="89"/>
        <v>10.909090909090908</v>
      </c>
      <c r="K105" s="70">
        <f t="shared" si="89"/>
        <v>10.909090909090908</v>
      </c>
      <c r="L105" s="70">
        <f t="shared" si="89"/>
        <v>10.909090909090908</v>
      </c>
      <c r="M105" s="70">
        <f t="shared" si="89"/>
        <v>10.909090909090908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3.5" customHeight="1" x14ac:dyDescent="0.3">
      <c r="A106" s="71" t="s">
        <v>131</v>
      </c>
      <c r="B106" s="71"/>
      <c r="C106" s="71"/>
      <c r="D106" s="71" t="s">
        <v>121</v>
      </c>
      <c r="E106" s="72">
        <v>0.01</v>
      </c>
      <c r="F106" s="73"/>
      <c r="G106" s="73"/>
      <c r="H106" s="72">
        <v>0</v>
      </c>
      <c r="I106" s="74">
        <f>E106</f>
        <v>0.01</v>
      </c>
      <c r="J106" s="74">
        <f t="shared" ref="J106:M106" si="90">I106</f>
        <v>0.01</v>
      </c>
      <c r="K106" s="74">
        <f t="shared" si="90"/>
        <v>0.01</v>
      </c>
      <c r="L106" s="74">
        <f t="shared" si="90"/>
        <v>0.01</v>
      </c>
      <c r="M106" s="74">
        <f t="shared" si="90"/>
        <v>0.01</v>
      </c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3.5" customHeight="1" x14ac:dyDescent="0.3">
      <c r="A107" s="43"/>
      <c r="B107" s="43"/>
      <c r="C107" s="43"/>
      <c r="D107" s="43"/>
      <c r="E107" s="44"/>
      <c r="F107" s="45"/>
      <c r="G107" s="45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3.5" customHeight="1" x14ac:dyDescent="0.3">
      <c r="A108" s="63" t="s">
        <v>132</v>
      </c>
      <c r="B108" s="46"/>
      <c r="C108" s="43"/>
      <c r="D108" s="77" t="s">
        <v>126</v>
      </c>
      <c r="E108" s="77" t="s">
        <v>127</v>
      </c>
      <c r="F108" s="77" t="s">
        <v>128</v>
      </c>
      <c r="G108" s="77"/>
      <c r="H108" s="77" t="s">
        <v>129</v>
      </c>
      <c r="I108" s="46"/>
      <c r="J108" s="77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3.5" customHeight="1" x14ac:dyDescent="0.3">
      <c r="A109" s="43" t="str">
        <f t="shared" ref="A109:A117" si="91">A97</f>
        <v xml:space="preserve">Spirulina Bulk </v>
      </c>
      <c r="B109" s="46"/>
      <c r="C109" s="43"/>
      <c r="D109" s="46">
        <f t="shared" ref="D109:D117" si="92">D86</f>
        <v>1000</v>
      </c>
      <c r="E109" s="70">
        <f t="shared" ref="E109:E117" si="93">E97</f>
        <v>0</v>
      </c>
      <c r="F109" s="70">
        <f t="shared" ref="F109:F117" si="94">IF(D109&lt;&gt;0,E109/D109,0)</f>
        <v>0</v>
      </c>
      <c r="G109" s="70"/>
      <c r="H109" s="70">
        <f t="shared" ref="H109:H117" si="95">F109*1000</f>
        <v>0</v>
      </c>
      <c r="I109" s="46"/>
      <c r="J109" s="44"/>
      <c r="K109" s="70"/>
      <c r="L109" s="70"/>
      <c r="M109" s="70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3.5" customHeight="1" x14ac:dyDescent="0.3">
      <c r="A110" s="43" t="str">
        <f t="shared" si="91"/>
        <v>Protein from Spirulina Bulk</v>
      </c>
      <c r="B110" s="46"/>
      <c r="C110" s="43"/>
      <c r="D110" s="46">
        <f t="shared" si="92"/>
        <v>1000</v>
      </c>
      <c r="E110" s="70">
        <f t="shared" si="93"/>
        <v>0</v>
      </c>
      <c r="F110" s="70">
        <f t="shared" si="94"/>
        <v>0</v>
      </c>
      <c r="G110" s="70"/>
      <c r="H110" s="70">
        <f t="shared" si="95"/>
        <v>0</v>
      </c>
      <c r="I110" s="46"/>
      <c r="J110" s="44"/>
      <c r="K110" s="70"/>
      <c r="L110" s="70"/>
      <c r="M110" s="70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3.5" customHeight="1" x14ac:dyDescent="0.3">
      <c r="A111" s="43" t="str">
        <f t="shared" si="91"/>
        <v>Spirulina 50 g (tablets or spaghettini)</v>
      </c>
      <c r="B111" s="46"/>
      <c r="C111" s="43"/>
      <c r="D111" s="46">
        <f t="shared" si="92"/>
        <v>50</v>
      </c>
      <c r="E111" s="70">
        <f t="shared" si="93"/>
        <v>12</v>
      </c>
      <c r="F111" s="70">
        <f t="shared" si="94"/>
        <v>0.24</v>
      </c>
      <c r="G111" s="70"/>
      <c r="H111" s="70">
        <f t="shared" si="95"/>
        <v>240</v>
      </c>
      <c r="I111" s="46"/>
      <c r="J111" s="44"/>
      <c r="K111" s="70"/>
      <c r="L111" s="70"/>
      <c r="M111" s="70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3.5" customHeight="1" x14ac:dyDescent="0.3">
      <c r="A112" s="43" t="str">
        <f t="shared" si="91"/>
        <v>Alternative meat product</v>
      </c>
      <c r="B112" s="46"/>
      <c r="C112" s="43"/>
      <c r="D112" s="46">
        <f t="shared" si="92"/>
        <v>220</v>
      </c>
      <c r="E112" s="70">
        <f t="shared" si="93"/>
        <v>2.7272727272727271</v>
      </c>
      <c r="F112" s="70">
        <f t="shared" si="94"/>
        <v>1.2396694214876032E-2</v>
      </c>
      <c r="G112" s="70"/>
      <c r="H112" s="70">
        <f t="shared" si="95"/>
        <v>12.396694214876032</v>
      </c>
      <c r="I112" s="46"/>
      <c r="J112" s="44"/>
      <c r="K112" s="70"/>
      <c r="L112" s="70"/>
      <c r="M112" s="70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3.5" customHeight="1" x14ac:dyDescent="0.3">
      <c r="A113" s="43" t="str">
        <f t="shared" si="91"/>
        <v>Barrette per Terzi</v>
      </c>
      <c r="B113" s="46"/>
      <c r="C113" s="43"/>
      <c r="D113" s="46">
        <f t="shared" si="92"/>
        <v>100</v>
      </c>
      <c r="E113" s="70">
        <f t="shared" si="93"/>
        <v>0.3</v>
      </c>
      <c r="F113" s="70">
        <f t="shared" si="94"/>
        <v>3.0000000000000001E-3</v>
      </c>
      <c r="G113" s="70"/>
      <c r="H113" s="70">
        <f t="shared" si="95"/>
        <v>3</v>
      </c>
      <c r="I113" s="46"/>
      <c r="J113" s="44"/>
      <c r="K113" s="70"/>
      <c r="L113" s="70"/>
      <c r="M113" s="70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3.5" customHeight="1" x14ac:dyDescent="0.3">
      <c r="A114" s="43" t="str">
        <f t="shared" si="91"/>
        <v>Phycocyanin</v>
      </c>
      <c r="B114" s="46"/>
      <c r="C114" s="43"/>
      <c r="D114" s="46">
        <f t="shared" si="92"/>
        <v>1000</v>
      </c>
      <c r="E114" s="70">
        <f t="shared" si="93"/>
        <v>0</v>
      </c>
      <c r="F114" s="70">
        <f t="shared" si="94"/>
        <v>0</v>
      </c>
      <c r="G114" s="70"/>
      <c r="H114" s="70">
        <f t="shared" si="95"/>
        <v>0</v>
      </c>
      <c r="I114" s="46"/>
      <c r="J114" s="44"/>
      <c r="K114" s="70"/>
      <c r="L114" s="70"/>
      <c r="M114" s="70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3.5" customHeight="1" x14ac:dyDescent="0.3">
      <c r="A115" s="43" t="str">
        <f t="shared" si="91"/>
        <v>Barrette a marchio</v>
      </c>
      <c r="B115" s="46"/>
      <c r="C115" s="43"/>
      <c r="D115" s="46">
        <f t="shared" si="92"/>
        <v>26</v>
      </c>
      <c r="E115" s="70">
        <f t="shared" si="93"/>
        <v>0.81818181818181812</v>
      </c>
      <c r="F115" s="70">
        <f t="shared" si="94"/>
        <v>3.1468531468531465E-2</v>
      </c>
      <c r="G115" s="70"/>
      <c r="H115" s="70">
        <f t="shared" si="95"/>
        <v>31.468531468531463</v>
      </c>
      <c r="I115" s="46"/>
      <c r="J115" s="44"/>
      <c r="K115" s="70"/>
      <c r="L115" s="70"/>
      <c r="M115" s="70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3.5" customHeight="1" x14ac:dyDescent="0.3">
      <c r="A116" s="43" t="str">
        <f t="shared" si="91"/>
        <v>Drink Funzionali</v>
      </c>
      <c r="B116" s="46"/>
      <c r="C116" s="43"/>
      <c r="D116" s="46">
        <f t="shared" si="92"/>
        <v>100</v>
      </c>
      <c r="E116" s="70">
        <f t="shared" si="93"/>
        <v>1.5818181818181818</v>
      </c>
      <c r="F116" s="70">
        <f t="shared" si="94"/>
        <v>1.5818181818181818E-2</v>
      </c>
      <c r="G116" s="70"/>
      <c r="H116" s="70">
        <f t="shared" si="95"/>
        <v>15.818181818181818</v>
      </c>
      <c r="I116" s="46"/>
      <c r="J116" s="44"/>
      <c r="K116" s="70"/>
      <c r="L116" s="70"/>
      <c r="M116" s="70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3.5" customHeight="1" x14ac:dyDescent="0.3">
      <c r="A117" s="43" t="str">
        <f t="shared" si="91"/>
        <v>Phycogel Antivirale</v>
      </c>
      <c r="B117" s="46"/>
      <c r="C117" s="43"/>
      <c r="D117" s="46">
        <f t="shared" si="92"/>
        <v>100</v>
      </c>
      <c r="E117" s="70">
        <f t="shared" si="93"/>
        <v>10.909090909090908</v>
      </c>
      <c r="F117" s="70">
        <f t="shared" si="94"/>
        <v>0.10909090909090909</v>
      </c>
      <c r="G117" s="70"/>
      <c r="H117" s="70">
        <f t="shared" si="95"/>
        <v>109.09090909090908</v>
      </c>
      <c r="I117" s="46"/>
      <c r="J117" s="44"/>
      <c r="K117" s="70"/>
      <c r="L117" s="70"/>
      <c r="M117" s="70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3.5" customHeight="1" x14ac:dyDescent="0.3">
      <c r="A118" s="35"/>
      <c r="B118" s="35"/>
      <c r="C118" s="35"/>
      <c r="D118" s="35"/>
      <c r="E118" s="36"/>
      <c r="F118" s="36"/>
      <c r="G118" s="36"/>
      <c r="H118" s="37" t="s">
        <v>81</v>
      </c>
      <c r="I118" s="37" t="s">
        <v>82</v>
      </c>
      <c r="J118" s="37" t="s">
        <v>83</v>
      </c>
      <c r="K118" s="37" t="s">
        <v>84</v>
      </c>
      <c r="L118" s="37" t="s">
        <v>85</v>
      </c>
      <c r="M118" s="37" t="s">
        <v>86</v>
      </c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3.5" customHeight="1" x14ac:dyDescent="0.3">
      <c r="A119" s="40" t="s">
        <v>133</v>
      </c>
      <c r="B119" s="68"/>
      <c r="C119" s="68"/>
      <c r="D119" s="40" t="s">
        <v>89</v>
      </c>
      <c r="E119" s="39" t="s">
        <v>115</v>
      </c>
      <c r="F119" s="39"/>
      <c r="G119" s="39"/>
      <c r="H119" s="57">
        <f t="shared" ref="H119:M119" si="96">H$58</f>
        <v>2022</v>
      </c>
      <c r="I119" s="57">
        <f t="shared" si="96"/>
        <v>2023</v>
      </c>
      <c r="J119" s="57">
        <f t="shared" si="96"/>
        <v>2024</v>
      </c>
      <c r="K119" s="57">
        <f t="shared" si="96"/>
        <v>2025</v>
      </c>
      <c r="L119" s="57">
        <f t="shared" si="96"/>
        <v>2026</v>
      </c>
      <c r="M119" s="57">
        <f t="shared" si="96"/>
        <v>2027</v>
      </c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3.5" customHeight="1" x14ac:dyDescent="0.3">
      <c r="A120" s="43"/>
      <c r="B120" s="43"/>
      <c r="C120" s="43"/>
      <c r="D120" s="43"/>
      <c r="E120" s="44"/>
      <c r="F120" s="45"/>
      <c r="G120" s="45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3.5" customHeight="1" x14ac:dyDescent="0.3">
      <c r="A121" s="63" t="s">
        <v>134</v>
      </c>
      <c r="B121" s="43"/>
      <c r="C121" s="43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3.5" customHeight="1" x14ac:dyDescent="0.3">
      <c r="A122" s="43" t="str">
        <f t="shared" ref="A122:A127" si="97">A61</f>
        <v xml:space="preserve">Spirulina Bulk </v>
      </c>
      <c r="B122" s="43"/>
      <c r="C122" s="43"/>
      <c r="D122" s="43" t="s">
        <v>119</v>
      </c>
      <c r="E122" s="62">
        <v>15</v>
      </c>
      <c r="F122" s="45"/>
      <c r="G122" s="45"/>
      <c r="H122" s="70">
        <f t="shared" ref="H122:H130" si="98">E122*(1+H$131)</f>
        <v>15</v>
      </c>
      <c r="I122" s="70">
        <f t="shared" ref="I122:M122" si="99">H122*(1+I$131)</f>
        <v>13.5</v>
      </c>
      <c r="J122" s="70">
        <f t="shared" si="99"/>
        <v>12.15</v>
      </c>
      <c r="K122" s="70">
        <f t="shared" si="99"/>
        <v>12.15</v>
      </c>
      <c r="L122" s="70">
        <f t="shared" si="99"/>
        <v>12.15</v>
      </c>
      <c r="M122" s="70">
        <f t="shared" si="99"/>
        <v>12.15</v>
      </c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3.5" customHeight="1" x14ac:dyDescent="0.3">
      <c r="A123" s="43" t="str">
        <f t="shared" si="97"/>
        <v>Protein from Spirulina Bulk</v>
      </c>
      <c r="B123" s="43"/>
      <c r="C123" s="43"/>
      <c r="D123" s="43" t="s">
        <v>119</v>
      </c>
      <c r="E123" s="62">
        <v>4</v>
      </c>
      <c r="F123" s="45"/>
      <c r="G123" s="45"/>
      <c r="H123" s="70">
        <f t="shared" si="98"/>
        <v>4</v>
      </c>
      <c r="I123" s="70">
        <f t="shared" ref="I123:M123" si="100">H123*(1+I$131)</f>
        <v>3.6</v>
      </c>
      <c r="J123" s="70">
        <f t="shared" si="100"/>
        <v>3.24</v>
      </c>
      <c r="K123" s="70">
        <f t="shared" si="100"/>
        <v>3.24</v>
      </c>
      <c r="L123" s="70">
        <f t="shared" si="100"/>
        <v>3.24</v>
      </c>
      <c r="M123" s="70">
        <f t="shared" si="100"/>
        <v>3.24</v>
      </c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3.5" customHeight="1" x14ac:dyDescent="0.3">
      <c r="A124" s="43" t="str">
        <f t="shared" si="97"/>
        <v>Spirulina 50 g (tablets or spaghettini)</v>
      </c>
      <c r="B124" s="43"/>
      <c r="C124" s="43"/>
      <c r="D124" s="43" t="s">
        <v>119</v>
      </c>
      <c r="E124" s="62">
        <f>1.2+E122/1000*50</f>
        <v>1.95</v>
      </c>
      <c r="F124" s="45"/>
      <c r="G124" s="45"/>
      <c r="H124" s="70">
        <f t="shared" si="98"/>
        <v>1.95</v>
      </c>
      <c r="I124" s="70">
        <f t="shared" ref="I124:M124" si="101">H124*(1+I$131)</f>
        <v>1.7549999999999999</v>
      </c>
      <c r="J124" s="70">
        <f t="shared" si="101"/>
        <v>1.5794999999999999</v>
      </c>
      <c r="K124" s="70">
        <f t="shared" si="101"/>
        <v>1.5794999999999999</v>
      </c>
      <c r="L124" s="70">
        <f t="shared" si="101"/>
        <v>1.5794999999999999</v>
      </c>
      <c r="M124" s="70">
        <f t="shared" si="101"/>
        <v>1.5794999999999999</v>
      </c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3.5" customHeight="1" x14ac:dyDescent="0.3">
      <c r="A125" s="43" t="str">
        <f t="shared" si="97"/>
        <v>Alternative meat product</v>
      </c>
      <c r="B125" s="43"/>
      <c r="C125" s="43"/>
      <c r="D125" s="43" t="s">
        <v>119</v>
      </c>
      <c r="E125" s="62">
        <v>1.57</v>
      </c>
      <c r="F125" s="45"/>
      <c r="G125" s="45"/>
      <c r="H125" s="70">
        <f t="shared" si="98"/>
        <v>1.57</v>
      </c>
      <c r="I125" s="70">
        <f t="shared" ref="I125:M125" si="102">H125*(1+I$131)</f>
        <v>1.413</v>
      </c>
      <c r="J125" s="70">
        <f t="shared" si="102"/>
        <v>1.2717000000000001</v>
      </c>
      <c r="K125" s="70">
        <f t="shared" si="102"/>
        <v>1.2717000000000001</v>
      </c>
      <c r="L125" s="70">
        <f t="shared" si="102"/>
        <v>1.2717000000000001</v>
      </c>
      <c r="M125" s="70">
        <f t="shared" si="102"/>
        <v>1.2717000000000001</v>
      </c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3.5" customHeight="1" x14ac:dyDescent="0.3">
      <c r="A126" s="43" t="str">
        <f t="shared" si="97"/>
        <v>Barrette per Terzi</v>
      </c>
      <c r="B126" s="43"/>
      <c r="C126" s="43"/>
      <c r="D126" s="43" t="s">
        <v>119</v>
      </c>
      <c r="E126" s="62">
        <v>0.35</v>
      </c>
      <c r="F126" s="45"/>
      <c r="G126" s="45"/>
      <c r="H126" s="70">
        <f t="shared" si="98"/>
        <v>0.35</v>
      </c>
      <c r="I126" s="70">
        <f t="shared" ref="I126:M126" si="103">H126*(1+I$131)</f>
        <v>0.315</v>
      </c>
      <c r="J126" s="70">
        <f t="shared" si="103"/>
        <v>0.28350000000000003</v>
      </c>
      <c r="K126" s="70">
        <f t="shared" si="103"/>
        <v>0.28350000000000003</v>
      </c>
      <c r="L126" s="70">
        <f t="shared" si="103"/>
        <v>0.28350000000000003</v>
      </c>
      <c r="M126" s="70">
        <f t="shared" si="103"/>
        <v>0.28350000000000003</v>
      </c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3.5" customHeight="1" x14ac:dyDescent="0.3">
      <c r="A127" s="43" t="str">
        <f t="shared" si="97"/>
        <v>Phycocyanin</v>
      </c>
      <c r="B127" s="43"/>
      <c r="C127" s="43"/>
      <c r="D127" s="43" t="s">
        <v>119</v>
      </c>
      <c r="E127" s="62">
        <v>100</v>
      </c>
      <c r="F127" s="45"/>
      <c r="G127" s="45"/>
      <c r="H127" s="70">
        <f t="shared" si="98"/>
        <v>100</v>
      </c>
      <c r="I127" s="70">
        <f t="shared" ref="I127:M127" si="104">H127*(1+I$131)</f>
        <v>90</v>
      </c>
      <c r="J127" s="70">
        <f t="shared" si="104"/>
        <v>81</v>
      </c>
      <c r="K127" s="70">
        <f t="shared" si="104"/>
        <v>81</v>
      </c>
      <c r="L127" s="70">
        <f t="shared" si="104"/>
        <v>81</v>
      </c>
      <c r="M127" s="70">
        <f t="shared" si="104"/>
        <v>81</v>
      </c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3.5" customHeight="1" x14ac:dyDescent="0.3">
      <c r="A128" s="43" t="str">
        <f t="shared" ref="A128:A130" si="105">A115</f>
        <v>Barrette a marchio</v>
      </c>
      <c r="B128" s="43"/>
      <c r="C128" s="43"/>
      <c r="D128" s="43" t="s">
        <v>119</v>
      </c>
      <c r="E128" s="62">
        <v>0.5</v>
      </c>
      <c r="F128" s="45"/>
      <c r="G128" s="45"/>
      <c r="H128" s="70">
        <f t="shared" si="98"/>
        <v>0.5</v>
      </c>
      <c r="I128" s="70">
        <f t="shared" ref="I128:M128" si="106">H128*(1+I$131)</f>
        <v>0.45</v>
      </c>
      <c r="J128" s="70">
        <f t="shared" si="106"/>
        <v>0.40500000000000003</v>
      </c>
      <c r="K128" s="70">
        <f t="shared" si="106"/>
        <v>0.40500000000000003</v>
      </c>
      <c r="L128" s="70">
        <f t="shared" si="106"/>
        <v>0.40500000000000003</v>
      </c>
      <c r="M128" s="70">
        <f t="shared" si="106"/>
        <v>0.40500000000000003</v>
      </c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3.5" customHeight="1" x14ac:dyDescent="0.3">
      <c r="A129" s="43" t="str">
        <f t="shared" si="105"/>
        <v>Drink Funzionali</v>
      </c>
      <c r="B129" s="43"/>
      <c r="C129" s="43"/>
      <c r="D129" s="43" t="s">
        <v>119</v>
      </c>
      <c r="E129" s="62">
        <f>E81/1.25</f>
        <v>1.181090909090909</v>
      </c>
      <c r="F129" s="45"/>
      <c r="G129" s="45"/>
      <c r="H129" s="70">
        <f t="shared" si="98"/>
        <v>1.181090909090909</v>
      </c>
      <c r="I129" s="70">
        <f t="shared" ref="I129:M129" si="107">H129*(1+I$131)</f>
        <v>1.062981818181818</v>
      </c>
      <c r="J129" s="70">
        <f t="shared" si="107"/>
        <v>0.95668363636363629</v>
      </c>
      <c r="K129" s="70">
        <f t="shared" si="107"/>
        <v>0.95668363636363629</v>
      </c>
      <c r="L129" s="70">
        <f t="shared" si="107"/>
        <v>0.95668363636363629</v>
      </c>
      <c r="M129" s="70">
        <f t="shared" si="107"/>
        <v>0.95668363636363629</v>
      </c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3.5" customHeight="1" x14ac:dyDescent="0.3">
      <c r="A130" s="43" t="str">
        <f t="shared" si="105"/>
        <v>Phycogel Antivirale</v>
      </c>
      <c r="B130" s="43"/>
      <c r="C130" s="43"/>
      <c r="D130" s="43" t="s">
        <v>119</v>
      </c>
      <c r="E130" s="62">
        <v>6</v>
      </c>
      <c r="F130" s="45"/>
      <c r="G130" s="45"/>
      <c r="H130" s="70">
        <f t="shared" si="98"/>
        <v>6</v>
      </c>
      <c r="I130" s="70">
        <f t="shared" ref="I130:M130" si="108">H130*(1+I$131)</f>
        <v>5.4</v>
      </c>
      <c r="J130" s="70">
        <f t="shared" si="108"/>
        <v>4.8600000000000003</v>
      </c>
      <c r="K130" s="70">
        <f t="shared" si="108"/>
        <v>4.8600000000000003</v>
      </c>
      <c r="L130" s="70">
        <f t="shared" si="108"/>
        <v>4.8600000000000003</v>
      </c>
      <c r="M130" s="70">
        <f t="shared" si="108"/>
        <v>4.8600000000000003</v>
      </c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3.5" customHeight="1" x14ac:dyDescent="0.3">
      <c r="A131" s="71" t="s">
        <v>135</v>
      </c>
      <c r="B131" s="71"/>
      <c r="C131" s="71"/>
      <c r="D131" s="71" t="s">
        <v>121</v>
      </c>
      <c r="E131" s="72">
        <v>-0.1</v>
      </c>
      <c r="F131" s="73"/>
      <c r="G131" s="73"/>
      <c r="H131" s="72">
        <v>0</v>
      </c>
      <c r="I131" s="74">
        <f>E131</f>
        <v>-0.1</v>
      </c>
      <c r="J131" s="74">
        <f>I131</f>
        <v>-0.1</v>
      </c>
      <c r="K131" s="72">
        <v>0</v>
      </c>
      <c r="L131" s="72">
        <v>0</v>
      </c>
      <c r="M131" s="72">
        <v>0</v>
      </c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3.5" customHeight="1" x14ac:dyDescent="0.3">
      <c r="A132" s="43"/>
      <c r="B132" s="43"/>
      <c r="C132" s="43"/>
      <c r="D132" s="43"/>
      <c r="E132" s="44"/>
      <c r="F132" s="45"/>
      <c r="G132" s="45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3.5" customHeight="1" x14ac:dyDescent="0.3">
      <c r="A133" s="63" t="s">
        <v>136</v>
      </c>
      <c r="B133" s="46"/>
      <c r="C133" s="43"/>
      <c r="D133" s="77" t="s">
        <v>126</v>
      </c>
      <c r="E133" s="77" t="s">
        <v>137</v>
      </c>
      <c r="F133" s="77" t="s">
        <v>138</v>
      </c>
      <c r="G133" s="77"/>
      <c r="H133" s="77" t="s">
        <v>139</v>
      </c>
      <c r="I133" s="46"/>
      <c r="J133" s="77" t="s">
        <v>140</v>
      </c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3.5" customHeight="1" x14ac:dyDescent="0.3">
      <c r="A134" s="43" t="str">
        <f t="shared" ref="A134:A142" si="109">A122</f>
        <v xml:space="preserve">Spirulina Bulk </v>
      </c>
      <c r="B134" s="46"/>
      <c r="C134" s="43"/>
      <c r="D134" s="46">
        <f t="shared" ref="D134:D142" si="110">D86</f>
        <v>1000</v>
      </c>
      <c r="E134" s="70">
        <f t="shared" ref="E134:E142" si="111">E122</f>
        <v>15</v>
      </c>
      <c r="F134" s="70">
        <f t="shared" ref="F134:F142" si="112">IF(D134&lt;&gt;0,E134/D134,0)</f>
        <v>1.4999999999999999E-2</v>
      </c>
      <c r="G134" s="70"/>
      <c r="H134" s="70">
        <f t="shared" ref="H134:H142" si="113">F134*1000</f>
        <v>15</v>
      </c>
      <c r="I134" s="50">
        <v>1</v>
      </c>
      <c r="J134" s="70">
        <f t="shared" ref="J134:J142" si="114">D134*I134</f>
        <v>1000</v>
      </c>
      <c r="K134" s="70"/>
      <c r="L134" s="70"/>
      <c r="M134" s="70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3.5" customHeight="1" x14ac:dyDescent="0.3">
      <c r="A135" s="43" t="str">
        <f t="shared" si="109"/>
        <v>Protein from Spirulina Bulk</v>
      </c>
      <c r="B135" s="46"/>
      <c r="C135" s="43"/>
      <c r="D135" s="46">
        <f t="shared" si="110"/>
        <v>1000</v>
      </c>
      <c r="E135" s="70">
        <f t="shared" si="111"/>
        <v>4</v>
      </c>
      <c r="F135" s="70">
        <f t="shared" si="112"/>
        <v>4.0000000000000001E-3</v>
      </c>
      <c r="G135" s="70"/>
      <c r="H135" s="70">
        <f t="shared" si="113"/>
        <v>4</v>
      </c>
      <c r="I135" s="50">
        <v>0.67</v>
      </c>
      <c r="J135" s="70">
        <f t="shared" si="114"/>
        <v>670</v>
      </c>
      <c r="K135" s="70"/>
      <c r="L135" s="70"/>
      <c r="M135" s="70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3.5" customHeight="1" x14ac:dyDescent="0.3">
      <c r="A136" s="43" t="str">
        <f t="shared" si="109"/>
        <v>Spirulina 50 g (tablets or spaghettini)</v>
      </c>
      <c r="B136" s="46"/>
      <c r="C136" s="43"/>
      <c r="D136" s="46">
        <f t="shared" si="110"/>
        <v>50</v>
      </c>
      <c r="E136" s="70">
        <f t="shared" si="111"/>
        <v>1.95</v>
      </c>
      <c r="F136" s="70">
        <f t="shared" si="112"/>
        <v>3.9E-2</v>
      </c>
      <c r="G136" s="70"/>
      <c r="H136" s="70">
        <f t="shared" si="113"/>
        <v>39</v>
      </c>
      <c r="I136" s="50">
        <v>1</v>
      </c>
      <c r="J136" s="70">
        <f t="shared" si="114"/>
        <v>50</v>
      </c>
      <c r="K136" s="70"/>
      <c r="L136" s="70"/>
      <c r="M136" s="70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3.5" customHeight="1" x14ac:dyDescent="0.3">
      <c r="A137" s="43" t="str">
        <f t="shared" si="109"/>
        <v>Alternative meat product</v>
      </c>
      <c r="B137" s="46"/>
      <c r="C137" s="43"/>
      <c r="D137" s="46">
        <f t="shared" si="110"/>
        <v>220</v>
      </c>
      <c r="E137" s="70">
        <f t="shared" si="111"/>
        <v>1.57</v>
      </c>
      <c r="F137" s="70">
        <f t="shared" si="112"/>
        <v>7.1363636363636369E-3</v>
      </c>
      <c r="G137" s="70"/>
      <c r="H137" s="70">
        <f t="shared" si="113"/>
        <v>7.1363636363636367</v>
      </c>
      <c r="I137" s="50">
        <v>0.05</v>
      </c>
      <c r="J137" s="70">
        <f t="shared" si="114"/>
        <v>11</v>
      </c>
      <c r="K137" s="70"/>
      <c r="L137" s="70"/>
      <c r="M137" s="70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3.5" customHeight="1" x14ac:dyDescent="0.3">
      <c r="A138" s="43" t="str">
        <f t="shared" si="109"/>
        <v>Barrette per Terzi</v>
      </c>
      <c r="B138" s="46"/>
      <c r="C138" s="43"/>
      <c r="D138" s="46">
        <f t="shared" si="110"/>
        <v>100</v>
      </c>
      <c r="E138" s="70">
        <f t="shared" si="111"/>
        <v>0.35</v>
      </c>
      <c r="F138" s="70">
        <f t="shared" si="112"/>
        <v>3.4999999999999996E-3</v>
      </c>
      <c r="G138" s="70"/>
      <c r="H138" s="70">
        <f t="shared" si="113"/>
        <v>3.4999999999999996</v>
      </c>
      <c r="I138" s="50">
        <v>0.01</v>
      </c>
      <c r="J138" s="70">
        <f t="shared" si="114"/>
        <v>1</v>
      </c>
      <c r="K138" s="70"/>
      <c r="L138" s="70"/>
      <c r="M138" s="70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3.5" customHeight="1" x14ac:dyDescent="0.3">
      <c r="A139" s="43" t="str">
        <f t="shared" si="109"/>
        <v>Phycocyanin</v>
      </c>
      <c r="B139" s="46"/>
      <c r="C139" s="43"/>
      <c r="D139" s="46">
        <f t="shared" si="110"/>
        <v>1000</v>
      </c>
      <c r="E139" s="70">
        <f t="shared" si="111"/>
        <v>100</v>
      </c>
      <c r="F139" s="70">
        <f t="shared" si="112"/>
        <v>0.1</v>
      </c>
      <c r="G139" s="70"/>
      <c r="H139" s="70">
        <f t="shared" si="113"/>
        <v>100</v>
      </c>
      <c r="I139" s="50">
        <v>3.5</v>
      </c>
      <c r="J139" s="70">
        <f t="shared" si="114"/>
        <v>3500</v>
      </c>
      <c r="K139" s="70"/>
      <c r="L139" s="70"/>
      <c r="M139" s="70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3.5" customHeight="1" x14ac:dyDescent="0.3">
      <c r="A140" s="43" t="str">
        <f t="shared" si="109"/>
        <v>Barrette a marchio</v>
      </c>
      <c r="B140" s="46"/>
      <c r="C140" s="43"/>
      <c r="D140" s="46">
        <f t="shared" si="110"/>
        <v>26</v>
      </c>
      <c r="E140" s="70">
        <f t="shared" si="111"/>
        <v>0.5</v>
      </c>
      <c r="F140" s="70">
        <f t="shared" si="112"/>
        <v>1.9230769230769232E-2</v>
      </c>
      <c r="G140" s="70"/>
      <c r="H140" s="70">
        <f t="shared" si="113"/>
        <v>19.230769230769234</v>
      </c>
      <c r="I140" s="50">
        <v>0.01</v>
      </c>
      <c r="J140" s="78">
        <f t="shared" si="114"/>
        <v>0.26</v>
      </c>
      <c r="K140" s="70"/>
      <c r="L140" s="70"/>
      <c r="M140" s="70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3.5" customHeight="1" x14ac:dyDescent="0.3">
      <c r="A141" s="43" t="str">
        <f t="shared" si="109"/>
        <v>Drink Funzionali</v>
      </c>
      <c r="B141" s="46"/>
      <c r="C141" s="43"/>
      <c r="D141" s="46">
        <f t="shared" si="110"/>
        <v>100</v>
      </c>
      <c r="E141" s="70">
        <f t="shared" si="111"/>
        <v>1.181090909090909</v>
      </c>
      <c r="F141" s="70">
        <f t="shared" si="112"/>
        <v>1.1810909090909089E-2</v>
      </c>
      <c r="G141" s="70"/>
      <c r="H141" s="70">
        <f t="shared" si="113"/>
        <v>11.810909090909089</v>
      </c>
      <c r="I141" s="50">
        <v>0.03</v>
      </c>
      <c r="J141" s="78">
        <f t="shared" si="114"/>
        <v>3</v>
      </c>
      <c r="K141" s="70"/>
      <c r="L141" s="70"/>
      <c r="M141" s="70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3.5" customHeight="1" x14ac:dyDescent="0.3">
      <c r="A142" s="43" t="str">
        <f t="shared" si="109"/>
        <v>Phycogel Antivirale</v>
      </c>
      <c r="B142" s="46"/>
      <c r="C142" s="43"/>
      <c r="D142" s="46">
        <f t="shared" si="110"/>
        <v>100</v>
      </c>
      <c r="E142" s="70">
        <f t="shared" si="111"/>
        <v>6</v>
      </c>
      <c r="F142" s="70">
        <f t="shared" si="112"/>
        <v>0.06</v>
      </c>
      <c r="G142" s="70"/>
      <c r="H142" s="70">
        <f t="shared" si="113"/>
        <v>60</v>
      </c>
      <c r="I142" s="50">
        <v>1</v>
      </c>
      <c r="J142" s="78">
        <f t="shared" si="114"/>
        <v>100</v>
      </c>
      <c r="K142" s="70"/>
      <c r="L142" s="70"/>
      <c r="M142" s="70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3.5" customHeight="1" x14ac:dyDescent="0.3">
      <c r="A143" s="43"/>
      <c r="B143" s="46"/>
      <c r="C143" s="43"/>
      <c r="D143" s="46"/>
      <c r="E143" s="70"/>
      <c r="F143" s="70"/>
      <c r="G143" s="70"/>
      <c r="H143" s="70"/>
      <c r="I143" s="50"/>
      <c r="J143" s="78"/>
      <c r="K143" s="70"/>
      <c r="L143" s="70"/>
      <c r="M143" s="70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3.5" customHeight="1" x14ac:dyDescent="0.3">
      <c r="A144" s="35"/>
      <c r="B144" s="35"/>
      <c r="C144" s="35"/>
      <c r="D144" s="35"/>
      <c r="E144" s="36"/>
      <c r="F144" s="36"/>
      <c r="G144" s="36"/>
      <c r="H144" s="37" t="s">
        <v>81</v>
      </c>
      <c r="I144" s="37" t="s">
        <v>82</v>
      </c>
      <c r="J144" s="37" t="s">
        <v>83</v>
      </c>
      <c r="K144" s="37" t="s">
        <v>84</v>
      </c>
      <c r="L144" s="37" t="s">
        <v>85</v>
      </c>
      <c r="M144" s="37" t="s">
        <v>86</v>
      </c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3.5" customHeight="1" x14ac:dyDescent="0.3">
      <c r="A145" s="64" t="s">
        <v>141</v>
      </c>
      <c r="B145" s="65"/>
      <c r="C145" s="65"/>
      <c r="D145" s="65"/>
      <c r="E145" s="66"/>
      <c r="F145" s="39" t="s">
        <v>142</v>
      </c>
      <c r="G145" s="39"/>
      <c r="H145" s="79">
        <v>2021</v>
      </c>
      <c r="I145" s="57">
        <f t="shared" ref="I145:M145" si="115">H145+1</f>
        <v>2022</v>
      </c>
      <c r="J145" s="57">
        <f t="shared" si="115"/>
        <v>2023</v>
      </c>
      <c r="K145" s="57">
        <f t="shared" si="115"/>
        <v>2024</v>
      </c>
      <c r="L145" s="57">
        <f t="shared" si="115"/>
        <v>2025</v>
      </c>
      <c r="M145" s="57">
        <f t="shared" si="115"/>
        <v>2026</v>
      </c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3.5" customHeight="1" x14ac:dyDescent="0.3">
      <c r="A146" s="43"/>
      <c r="B146" s="43"/>
      <c r="C146" s="43"/>
      <c r="D146" s="43"/>
      <c r="E146" s="44"/>
      <c r="F146" s="45"/>
      <c r="G146" s="45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3.5" customHeight="1" x14ac:dyDescent="0.3">
      <c r="A147" s="63" t="s">
        <v>143</v>
      </c>
      <c r="B147" s="77" t="s">
        <v>144</v>
      </c>
      <c r="C147" s="77" t="s">
        <v>145</v>
      </c>
      <c r="D147" s="77" t="s">
        <v>146</v>
      </c>
      <c r="E147" s="77" t="s">
        <v>147</v>
      </c>
      <c r="F147" s="77" t="s">
        <v>148</v>
      </c>
      <c r="G147" s="77"/>
      <c r="H147" s="77" t="s">
        <v>149</v>
      </c>
      <c r="I147" s="77" t="s">
        <v>150</v>
      </c>
      <c r="J147" s="77" t="s">
        <v>151</v>
      </c>
      <c r="K147" s="46"/>
      <c r="L147" s="77"/>
      <c r="M147" s="77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3.5" customHeight="1" x14ac:dyDescent="0.3">
      <c r="A148" s="43" t="str">
        <f t="shared" ref="A148:A153" si="116">A61</f>
        <v xml:space="preserve">Spirulina Bulk </v>
      </c>
      <c r="B148" s="44">
        <v>1</v>
      </c>
      <c r="C148" s="44">
        <v>100</v>
      </c>
      <c r="D148" s="44">
        <v>0</v>
      </c>
      <c r="E148" s="46">
        <f t="shared" ref="E148:E156" si="117">B148*C148*D148</f>
        <v>0</v>
      </c>
      <c r="F148" s="70">
        <f t="shared" ref="F148:F156" si="118">E148*E122</f>
        <v>0</v>
      </c>
      <c r="G148" s="70"/>
      <c r="H148" s="70">
        <f t="shared" ref="H148:H156" si="119">E148*E74</f>
        <v>0</v>
      </c>
      <c r="I148" s="70">
        <f t="shared" ref="I148:I156" si="120">H148-F148</f>
        <v>0</v>
      </c>
      <c r="J148" s="80" t="str">
        <f t="shared" ref="J148:J157" si="121">IF(H148&lt;&gt;0,I148/H148,"n/a")</f>
        <v>n/a</v>
      </c>
      <c r="K148" s="46"/>
      <c r="L148" s="81"/>
      <c r="M148" s="81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3.5" customHeight="1" x14ac:dyDescent="0.3">
      <c r="A149" s="43" t="str">
        <f t="shared" si="116"/>
        <v>Protein from Spirulina Bulk</v>
      </c>
      <c r="B149" s="44">
        <v>1</v>
      </c>
      <c r="C149" s="44">
        <v>100</v>
      </c>
      <c r="D149" s="44">
        <v>0</v>
      </c>
      <c r="E149" s="46">
        <f t="shared" si="117"/>
        <v>0</v>
      </c>
      <c r="F149" s="70">
        <f t="shared" si="118"/>
        <v>0</v>
      </c>
      <c r="G149" s="70"/>
      <c r="H149" s="70">
        <f t="shared" si="119"/>
        <v>0</v>
      </c>
      <c r="I149" s="70">
        <f t="shared" si="120"/>
        <v>0</v>
      </c>
      <c r="J149" s="80" t="str">
        <f t="shared" si="121"/>
        <v>n/a</v>
      </c>
      <c r="K149" s="46"/>
      <c r="L149" s="81"/>
      <c r="M149" s="81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3.5" customHeight="1" x14ac:dyDescent="0.3">
      <c r="A150" s="43" t="str">
        <f t="shared" si="116"/>
        <v>Spirulina 50 g (tablets or spaghettini)</v>
      </c>
      <c r="B150" s="44">
        <v>1</v>
      </c>
      <c r="C150" s="44">
        <v>100</v>
      </c>
      <c r="D150" s="44">
        <v>6</v>
      </c>
      <c r="E150" s="46">
        <f t="shared" si="117"/>
        <v>600</v>
      </c>
      <c r="F150" s="70">
        <f t="shared" si="118"/>
        <v>1170</v>
      </c>
      <c r="G150" s="70"/>
      <c r="H150" s="70">
        <f t="shared" si="119"/>
        <v>6720</v>
      </c>
      <c r="I150" s="70">
        <f t="shared" si="120"/>
        <v>5550</v>
      </c>
      <c r="J150" s="80">
        <f t="shared" si="121"/>
        <v>0.8258928571428571</v>
      </c>
      <c r="K150" s="46"/>
      <c r="L150" s="81"/>
      <c r="M150" s="81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3.5" customHeight="1" x14ac:dyDescent="0.3">
      <c r="A151" s="43" t="str">
        <f t="shared" si="116"/>
        <v>Alternative meat product</v>
      </c>
      <c r="B151" s="44">
        <v>1</v>
      </c>
      <c r="C151" s="44">
        <v>24</v>
      </c>
      <c r="D151" s="44">
        <v>24</v>
      </c>
      <c r="E151" s="46">
        <f t="shared" si="117"/>
        <v>576</v>
      </c>
      <c r="F151" s="70">
        <f t="shared" si="118"/>
        <v>904.32</v>
      </c>
      <c r="G151" s="70"/>
      <c r="H151" s="70">
        <f t="shared" si="119"/>
        <v>1466.181818181818</v>
      </c>
      <c r="I151" s="70">
        <f t="shared" si="120"/>
        <v>561.86181818181797</v>
      </c>
      <c r="J151" s="80">
        <f t="shared" si="121"/>
        <v>0.38321428571428562</v>
      </c>
      <c r="K151" s="46"/>
      <c r="L151" s="81"/>
      <c r="M151" s="81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3.5" customHeight="1" x14ac:dyDescent="0.3">
      <c r="A152" s="43" t="str">
        <f t="shared" si="116"/>
        <v>Barrette per Terzi</v>
      </c>
      <c r="B152" s="44">
        <v>1</v>
      </c>
      <c r="C152" s="44">
        <v>100</v>
      </c>
      <c r="D152" s="44">
        <v>0</v>
      </c>
      <c r="E152" s="46">
        <f t="shared" si="117"/>
        <v>0</v>
      </c>
      <c r="F152" s="70">
        <f t="shared" si="118"/>
        <v>0</v>
      </c>
      <c r="G152" s="70"/>
      <c r="H152" s="70">
        <f t="shared" si="119"/>
        <v>0</v>
      </c>
      <c r="I152" s="70">
        <f t="shared" si="120"/>
        <v>0</v>
      </c>
      <c r="J152" s="80" t="str">
        <f t="shared" si="121"/>
        <v>n/a</v>
      </c>
      <c r="K152" s="46"/>
      <c r="L152" s="81"/>
      <c r="M152" s="81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3.5" customHeight="1" x14ac:dyDescent="0.3">
      <c r="A153" s="43" t="str">
        <f t="shared" si="116"/>
        <v>Phycocyanin</v>
      </c>
      <c r="B153" s="44">
        <v>1</v>
      </c>
      <c r="C153" s="44">
        <v>100</v>
      </c>
      <c r="D153" s="44">
        <v>0</v>
      </c>
      <c r="E153" s="46">
        <f t="shared" si="117"/>
        <v>0</v>
      </c>
      <c r="F153" s="70">
        <f t="shared" si="118"/>
        <v>0</v>
      </c>
      <c r="G153" s="70"/>
      <c r="H153" s="70">
        <f t="shared" si="119"/>
        <v>0</v>
      </c>
      <c r="I153" s="70">
        <f t="shared" si="120"/>
        <v>0</v>
      </c>
      <c r="J153" s="80" t="str">
        <f t="shared" si="121"/>
        <v>n/a</v>
      </c>
      <c r="K153" s="46"/>
      <c r="L153" s="81"/>
      <c r="M153" s="81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3.5" customHeight="1" x14ac:dyDescent="0.3">
      <c r="A154" s="43" t="str">
        <f t="shared" ref="A154:A156" si="122">A140</f>
        <v>Barrette a marchio</v>
      </c>
      <c r="B154" s="44">
        <v>1</v>
      </c>
      <c r="C154" s="44">
        <v>100</v>
      </c>
      <c r="D154" s="44">
        <v>0</v>
      </c>
      <c r="E154" s="46">
        <f t="shared" si="117"/>
        <v>0</v>
      </c>
      <c r="F154" s="70">
        <f t="shared" si="118"/>
        <v>0</v>
      </c>
      <c r="G154" s="70"/>
      <c r="H154" s="70">
        <f t="shared" si="119"/>
        <v>0</v>
      </c>
      <c r="I154" s="70">
        <f t="shared" si="120"/>
        <v>0</v>
      </c>
      <c r="J154" s="80" t="str">
        <f t="shared" si="121"/>
        <v>n/a</v>
      </c>
      <c r="K154" s="46"/>
      <c r="L154" s="81"/>
      <c r="M154" s="81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3.5" customHeight="1" x14ac:dyDescent="0.3">
      <c r="A155" s="43" t="str">
        <f t="shared" si="122"/>
        <v>Drink Funzionali</v>
      </c>
      <c r="B155" s="44">
        <v>1</v>
      </c>
      <c r="C155" s="44">
        <v>100</v>
      </c>
      <c r="D155" s="44">
        <v>6</v>
      </c>
      <c r="E155" s="46">
        <f t="shared" si="117"/>
        <v>600</v>
      </c>
      <c r="F155" s="70">
        <f t="shared" si="118"/>
        <v>708.65454545454543</v>
      </c>
      <c r="G155" s="70"/>
      <c r="H155" s="70">
        <f t="shared" si="119"/>
        <v>885.81818181818164</v>
      </c>
      <c r="I155" s="70">
        <f t="shared" si="120"/>
        <v>177.16363636363621</v>
      </c>
      <c r="J155" s="80">
        <f t="shared" si="121"/>
        <v>0.19999999999999987</v>
      </c>
      <c r="K155" s="46"/>
      <c r="L155" s="81"/>
      <c r="M155" s="81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3.5" customHeight="1" x14ac:dyDescent="0.3">
      <c r="A156" s="43" t="str">
        <f t="shared" si="122"/>
        <v>Phycogel Antivirale</v>
      </c>
      <c r="B156" s="44">
        <v>1</v>
      </c>
      <c r="C156" s="44">
        <v>100</v>
      </c>
      <c r="D156" s="44">
        <v>6</v>
      </c>
      <c r="E156" s="46">
        <f t="shared" si="117"/>
        <v>600</v>
      </c>
      <c r="F156" s="70">
        <f t="shared" si="118"/>
        <v>3600</v>
      </c>
      <c r="G156" s="70"/>
      <c r="H156" s="70">
        <f t="shared" si="119"/>
        <v>6109.0909090909081</v>
      </c>
      <c r="I156" s="70">
        <f t="shared" si="120"/>
        <v>2509.0909090909081</v>
      </c>
      <c r="J156" s="80">
        <f t="shared" si="121"/>
        <v>0.41071428571428564</v>
      </c>
      <c r="K156" s="46"/>
      <c r="L156" s="81"/>
      <c r="M156" s="81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3.5" customHeight="1" x14ac:dyDescent="0.3">
      <c r="A157" s="82" t="s">
        <v>152</v>
      </c>
      <c r="B157" s="51">
        <f>SUM(B148:B155)</f>
        <v>8</v>
      </c>
      <c r="C157" s="51">
        <f t="shared" ref="C157:D157" si="123">SUMPRODUCT(B148:B156,C148:C156)</f>
        <v>824</v>
      </c>
      <c r="D157" s="51">
        <f t="shared" si="123"/>
        <v>2376</v>
      </c>
      <c r="E157" s="51">
        <f t="shared" ref="E157:F157" si="124">SUM(E148:E156)</f>
        <v>2376</v>
      </c>
      <c r="F157" s="51">
        <f t="shared" si="124"/>
        <v>6382.9745454545455</v>
      </c>
      <c r="G157" s="51"/>
      <c r="H157" s="51">
        <f t="shared" ref="H157:I157" si="125">SUM(H148:H156)</f>
        <v>15181.090909090908</v>
      </c>
      <c r="I157" s="51">
        <f t="shared" si="125"/>
        <v>8798.1163636363635</v>
      </c>
      <c r="J157" s="61">
        <f t="shared" si="121"/>
        <v>0.57954440931302098</v>
      </c>
      <c r="K157" s="45"/>
      <c r="L157" s="83"/>
      <c r="M157" s="83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3.5" customHeight="1" x14ac:dyDescent="0.3">
      <c r="A158" s="82"/>
      <c r="B158" s="51"/>
      <c r="C158" s="51"/>
      <c r="D158" s="51"/>
      <c r="E158" s="51"/>
      <c r="F158" s="51"/>
      <c r="G158" s="51"/>
      <c r="H158" s="51"/>
      <c r="I158" s="51"/>
      <c r="J158" s="61"/>
      <c r="K158" s="45"/>
      <c r="L158" s="83"/>
      <c r="M158" s="83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3.5" customHeight="1" x14ac:dyDescent="0.3">
      <c r="A159" s="43"/>
      <c r="B159" s="44"/>
      <c r="C159" s="44"/>
      <c r="D159" s="44"/>
      <c r="E159" s="46"/>
      <c r="F159" s="70"/>
      <c r="G159" s="70"/>
      <c r="H159" s="70"/>
      <c r="I159" s="70"/>
      <c r="J159" s="80"/>
      <c r="K159" s="46"/>
      <c r="L159" s="81"/>
      <c r="M159" s="81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3.5" customHeight="1" x14ac:dyDescent="0.3">
      <c r="A160" s="63" t="s">
        <v>153</v>
      </c>
      <c r="B160" s="77" t="s">
        <v>126</v>
      </c>
      <c r="C160" s="77"/>
      <c r="D160" s="77"/>
      <c r="E160" s="77" t="s">
        <v>140</v>
      </c>
      <c r="F160" s="77"/>
      <c r="G160" s="77"/>
      <c r="H160" s="77"/>
      <c r="I160" s="77"/>
      <c r="J160" s="77"/>
      <c r="K160" s="77"/>
      <c r="L160" s="77"/>
      <c r="M160" s="77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3.5" customHeight="1" x14ac:dyDescent="0.3">
      <c r="A161" s="43" t="str">
        <f t="shared" ref="A161:A169" si="126">A74</f>
        <v xml:space="preserve">Spirulina Bulk </v>
      </c>
      <c r="B161" s="46">
        <f t="shared" ref="B161:B169" si="127">D134</f>
        <v>1000</v>
      </c>
      <c r="C161" s="78"/>
      <c r="D161" s="44"/>
      <c r="E161" s="70">
        <f t="shared" ref="E161:E169" si="128">J102</f>
        <v>0</v>
      </c>
      <c r="F161" s="84"/>
      <c r="G161" s="84"/>
      <c r="H161" s="70"/>
      <c r="I161" s="70"/>
      <c r="J161" s="80"/>
      <c r="K161" s="44"/>
      <c r="L161" s="78"/>
      <c r="M161" s="78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3.5" customHeight="1" x14ac:dyDescent="0.3">
      <c r="A162" s="43" t="str">
        <f t="shared" si="126"/>
        <v>Protein from Spirulina Bulk</v>
      </c>
      <c r="B162" s="46">
        <f t="shared" si="127"/>
        <v>1000</v>
      </c>
      <c r="C162" s="78"/>
      <c r="D162" s="44"/>
      <c r="E162" s="70">
        <f t="shared" si="128"/>
        <v>0.81818181818181812</v>
      </c>
      <c r="F162" s="84"/>
      <c r="G162" s="84"/>
      <c r="H162" s="70"/>
      <c r="I162" s="70"/>
      <c r="J162" s="80"/>
      <c r="K162" s="44"/>
      <c r="L162" s="78"/>
      <c r="M162" s="78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3.5" customHeight="1" x14ac:dyDescent="0.3">
      <c r="A163" s="43" t="str">
        <f t="shared" si="126"/>
        <v>Spirulina 50 g (tablets or spaghettini)</v>
      </c>
      <c r="B163" s="46">
        <f t="shared" si="127"/>
        <v>50</v>
      </c>
      <c r="C163" s="78"/>
      <c r="D163" s="44"/>
      <c r="E163" s="70">
        <f t="shared" si="128"/>
        <v>1.5818181818181818</v>
      </c>
      <c r="F163" s="84"/>
      <c r="G163" s="84"/>
      <c r="H163" s="70"/>
      <c r="I163" s="70"/>
      <c r="J163" s="80"/>
      <c r="K163" s="44"/>
      <c r="L163" s="78"/>
      <c r="M163" s="78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3.5" customHeight="1" x14ac:dyDescent="0.3">
      <c r="A164" s="43" t="str">
        <f t="shared" si="126"/>
        <v>Alternative meat product</v>
      </c>
      <c r="B164" s="46">
        <f t="shared" si="127"/>
        <v>220</v>
      </c>
      <c r="C164" s="78"/>
      <c r="D164" s="44"/>
      <c r="E164" s="70">
        <f t="shared" si="128"/>
        <v>10.909090909090908</v>
      </c>
      <c r="F164" s="84"/>
      <c r="G164" s="84"/>
      <c r="H164" s="70"/>
      <c r="I164" s="70"/>
      <c r="J164" s="80"/>
      <c r="K164" s="44"/>
      <c r="L164" s="78"/>
      <c r="M164" s="78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3.5" customHeight="1" x14ac:dyDescent="0.3">
      <c r="A165" s="43" t="str">
        <f t="shared" si="126"/>
        <v>Barrette per Terzi</v>
      </c>
      <c r="B165" s="46">
        <f t="shared" si="127"/>
        <v>100</v>
      </c>
      <c r="C165" s="78"/>
      <c r="D165" s="44"/>
      <c r="E165" s="70">
        <f t="shared" si="128"/>
        <v>0.01</v>
      </c>
      <c r="F165" s="84"/>
      <c r="G165" s="84"/>
      <c r="H165" s="70"/>
      <c r="I165" s="70"/>
      <c r="J165" s="80"/>
      <c r="K165" s="44"/>
      <c r="L165" s="78"/>
      <c r="M165" s="78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3.5" customHeight="1" x14ac:dyDescent="0.3">
      <c r="A166" s="43" t="str">
        <f t="shared" si="126"/>
        <v>Phycocyanin</v>
      </c>
      <c r="B166" s="78">
        <f t="shared" si="127"/>
        <v>1000</v>
      </c>
      <c r="C166" s="78"/>
      <c r="D166" s="44"/>
      <c r="E166" s="70">
        <f t="shared" si="128"/>
        <v>0</v>
      </c>
      <c r="F166" s="84"/>
      <c r="G166" s="84"/>
      <c r="H166" s="70"/>
      <c r="I166" s="70"/>
      <c r="J166" s="80"/>
      <c r="K166" s="44"/>
      <c r="L166" s="78"/>
      <c r="M166" s="78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3.5" customHeight="1" x14ac:dyDescent="0.3">
      <c r="A167" s="43" t="str">
        <f t="shared" si="126"/>
        <v>Barrette a marchio</v>
      </c>
      <c r="B167" s="46">
        <f t="shared" si="127"/>
        <v>26</v>
      </c>
      <c r="C167" s="78"/>
      <c r="D167" s="44"/>
      <c r="E167" s="78">
        <f t="shared" si="128"/>
        <v>0</v>
      </c>
      <c r="F167" s="84"/>
      <c r="G167" s="84"/>
      <c r="H167" s="70"/>
      <c r="I167" s="70"/>
      <c r="J167" s="80"/>
      <c r="K167" s="44"/>
      <c r="L167" s="78"/>
      <c r="M167" s="78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3.5" customHeight="1" x14ac:dyDescent="0.3">
      <c r="A168" s="43" t="str">
        <f t="shared" si="126"/>
        <v>Drink Funzionali</v>
      </c>
      <c r="B168" s="46">
        <f t="shared" si="127"/>
        <v>100</v>
      </c>
      <c r="C168" s="78"/>
      <c r="D168" s="44"/>
      <c r="E168" s="78">
        <f t="shared" si="128"/>
        <v>0</v>
      </c>
      <c r="F168" s="84"/>
      <c r="G168" s="84"/>
      <c r="H168" s="70"/>
      <c r="I168" s="70"/>
      <c r="J168" s="80"/>
      <c r="K168" s="44"/>
      <c r="L168" s="78"/>
      <c r="M168" s="78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3.5" customHeight="1" x14ac:dyDescent="0.3">
      <c r="A169" s="43" t="str">
        <f t="shared" si="126"/>
        <v>Phycogel Antivirale</v>
      </c>
      <c r="B169" s="46">
        <f t="shared" si="127"/>
        <v>100</v>
      </c>
      <c r="C169" s="78"/>
      <c r="D169" s="44"/>
      <c r="E169" s="78">
        <f t="shared" si="128"/>
        <v>0</v>
      </c>
      <c r="F169" s="84"/>
      <c r="G169" s="84"/>
      <c r="H169" s="70"/>
      <c r="I169" s="70"/>
      <c r="J169" s="80"/>
      <c r="K169" s="44"/>
      <c r="L169" s="78"/>
      <c r="M169" s="78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3.5" customHeight="1" x14ac:dyDescent="0.3">
      <c r="A170" s="43"/>
      <c r="B170" s="46"/>
      <c r="C170" s="78"/>
      <c r="D170" s="44"/>
      <c r="E170" s="78"/>
      <c r="F170" s="84"/>
      <c r="G170" s="84"/>
      <c r="H170" s="70"/>
      <c r="I170" s="70"/>
      <c r="J170" s="80"/>
      <c r="K170" s="44"/>
      <c r="L170" s="78"/>
      <c r="M170" s="78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3.5" customHeight="1" x14ac:dyDescent="0.3">
      <c r="A171" s="43"/>
      <c r="B171" s="43"/>
      <c r="C171" s="43"/>
      <c r="D171" s="43"/>
      <c r="E171" s="62"/>
      <c r="F171" s="45"/>
      <c r="G171" s="45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3.5" customHeight="1" x14ac:dyDescent="0.3">
      <c r="A172" s="40" t="s">
        <v>154</v>
      </c>
      <c r="B172" s="68"/>
      <c r="C172" s="68"/>
      <c r="D172" s="40"/>
      <c r="E172" s="39"/>
      <c r="F172" s="39" t="s">
        <v>142</v>
      </c>
      <c r="G172" s="39"/>
      <c r="H172" s="57">
        <f t="shared" ref="H172:M172" si="129">H$58</f>
        <v>2022</v>
      </c>
      <c r="I172" s="57">
        <f t="shared" si="129"/>
        <v>2023</v>
      </c>
      <c r="J172" s="57">
        <f t="shared" si="129"/>
        <v>2024</v>
      </c>
      <c r="K172" s="57">
        <f t="shared" si="129"/>
        <v>2025</v>
      </c>
      <c r="L172" s="57">
        <f t="shared" si="129"/>
        <v>2026</v>
      </c>
      <c r="M172" s="57">
        <f t="shared" si="129"/>
        <v>2027</v>
      </c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3.5" customHeight="1" x14ac:dyDescent="0.3">
      <c r="A173" s="43" t="str">
        <f t="shared" ref="A173:A181" si="130">A41</f>
        <v xml:space="preserve">Spirulina Bulk </v>
      </c>
      <c r="B173" s="43"/>
      <c r="C173" s="43"/>
      <c r="D173" s="43" t="s">
        <v>155</v>
      </c>
      <c r="E173" s="62"/>
      <c r="F173" s="45">
        <f t="shared" ref="F173:F182" si="131">SUM(H173:L173)</f>
        <v>196555.18187190988</v>
      </c>
      <c r="G173" s="45"/>
      <c r="H173" s="46">
        <f t="shared" ref="H173:M173" si="132">IF(H74&lt;&gt;0,H41*1000/H74,"n/a")</f>
        <v>4016.2500000000005</v>
      </c>
      <c r="I173" s="46">
        <f t="shared" si="132"/>
        <v>12856.016249999999</v>
      </c>
      <c r="J173" s="46">
        <f t="shared" si="132"/>
        <v>27434.738677500001</v>
      </c>
      <c r="K173" s="46">
        <f t="shared" si="132"/>
        <v>58545.732337784997</v>
      </c>
      <c r="L173" s="46">
        <f t="shared" si="132"/>
        <v>93702.444606624893</v>
      </c>
      <c r="M173" s="46">
        <f t="shared" si="132"/>
        <v>111089.45377252086</v>
      </c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3.5" customHeight="1" x14ac:dyDescent="0.3">
      <c r="A174" s="43" t="str">
        <f t="shared" si="130"/>
        <v>Protein from Spirulina Bulk</v>
      </c>
      <c r="B174" s="43"/>
      <c r="C174" s="43"/>
      <c r="D174" s="43" t="s">
        <v>155</v>
      </c>
      <c r="E174" s="62"/>
      <c r="F174" s="45">
        <f t="shared" si="131"/>
        <v>489987.49894988525</v>
      </c>
      <c r="G174" s="45"/>
      <c r="H174" s="46">
        <f t="shared" ref="H174:M174" si="133">IF(H75&lt;&gt;0,H42*1000/H75,"n/a")</f>
        <v>10535.000000000002</v>
      </c>
      <c r="I174" s="46">
        <f t="shared" si="133"/>
        <v>33722.534999999996</v>
      </c>
      <c r="J174" s="46">
        <f t="shared" si="133"/>
        <v>71963.889689999996</v>
      </c>
      <c r="K174" s="46">
        <f t="shared" si="133"/>
        <v>127975.78383205</v>
      </c>
      <c r="L174" s="46">
        <f t="shared" si="133"/>
        <v>245790.29042783528</v>
      </c>
      <c r="M174" s="46">
        <f t="shared" si="133"/>
        <v>291398.04431833362</v>
      </c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3.5" customHeight="1" x14ac:dyDescent="0.3">
      <c r="A175" s="43" t="str">
        <f t="shared" si="130"/>
        <v>Spirulina 50 g (tablets or spaghettini)</v>
      </c>
      <c r="B175" s="43"/>
      <c r="C175" s="43"/>
      <c r="D175" s="43" t="s">
        <v>155</v>
      </c>
      <c r="E175" s="62"/>
      <c r="F175" s="45">
        <f t="shared" si="131"/>
        <v>154849.14538228197</v>
      </c>
      <c r="G175" s="45"/>
      <c r="H175" s="46">
        <f t="shared" ref="H175:M175" si="134">IF(H76&lt;&gt;0,H43*1000/H76,"n/a")</f>
        <v>3164.0625</v>
      </c>
      <c r="I175" s="46">
        <f t="shared" si="134"/>
        <v>10128.1640625</v>
      </c>
      <c r="J175" s="46">
        <f t="shared" si="134"/>
        <v>21613.502109374997</v>
      </c>
      <c r="K175" s="46">
        <f t="shared" si="134"/>
        <v>46123.213501406244</v>
      </c>
      <c r="L175" s="46">
        <f t="shared" si="134"/>
        <v>73820.203209000712</v>
      </c>
      <c r="M175" s="46">
        <f t="shared" si="134"/>
        <v>87517.952026670828</v>
      </c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3.5" customHeight="1" x14ac:dyDescent="0.3">
      <c r="A176" s="43" t="str">
        <f t="shared" si="130"/>
        <v>Alternative meat product</v>
      </c>
      <c r="B176" s="43"/>
      <c r="C176" s="43"/>
      <c r="D176" s="43" t="s">
        <v>155</v>
      </c>
      <c r="E176" s="62"/>
      <c r="F176" s="45">
        <f t="shared" si="131"/>
        <v>2132792.7028023582</v>
      </c>
      <c r="G176" s="45"/>
      <c r="H176" s="46">
        <f t="shared" ref="H176:M176" si="135">IF(H77&lt;&gt;0,H44*1000/H77,"n/a")</f>
        <v>41387.500000000015</v>
      </c>
      <c r="I176" s="46">
        <f t="shared" si="135"/>
        <v>132481.38750000001</v>
      </c>
      <c r="J176" s="46">
        <f t="shared" si="135"/>
        <v>282715.28092500003</v>
      </c>
      <c r="K176" s="46">
        <f t="shared" si="135"/>
        <v>603314.40949395008</v>
      </c>
      <c r="L176" s="46">
        <f t="shared" si="135"/>
        <v>1072894.124883408</v>
      </c>
      <c r="M176" s="46">
        <f t="shared" si="135"/>
        <v>1144778.0312505965</v>
      </c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3.5" customHeight="1" x14ac:dyDescent="0.3">
      <c r="A177" s="43" t="str">
        <f t="shared" si="130"/>
        <v>Barrette per Terzi</v>
      </c>
      <c r="B177" s="43"/>
      <c r="C177" s="43"/>
      <c r="D177" s="43" t="s">
        <v>155</v>
      </c>
      <c r="E177" s="62"/>
      <c r="F177" s="45">
        <f t="shared" si="131"/>
        <v>25612727.964309946</v>
      </c>
      <c r="G177" s="45"/>
      <c r="H177" s="46">
        <f t="shared" ref="H177:M177" si="136">IF(H78&lt;&gt;0,H45*1000/H78,"n/a")</f>
        <v>582857.14285714284</v>
      </c>
      <c r="I177" s="46">
        <f t="shared" si="136"/>
        <v>1228662.857142857</v>
      </c>
      <c r="J177" s="46">
        <f t="shared" si="136"/>
        <v>2590021.3028571433</v>
      </c>
      <c r="K177" s="46">
        <f t="shared" si="136"/>
        <v>6824706.1330285715</v>
      </c>
      <c r="L177" s="46">
        <f t="shared" si="136"/>
        <v>14386480.528424228</v>
      </c>
      <c r="M177" s="46">
        <f t="shared" si="136"/>
        <v>15163350.476959137</v>
      </c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3.5" customHeight="1" x14ac:dyDescent="0.3">
      <c r="A178" s="43" t="str">
        <f t="shared" si="130"/>
        <v>Phycocyanin</v>
      </c>
      <c r="B178" s="43"/>
      <c r="C178" s="43"/>
      <c r="D178" s="43" t="s">
        <v>155</v>
      </c>
      <c r="E178" s="62"/>
      <c r="F178" s="45">
        <f t="shared" si="131"/>
        <v>8193.2109864000013</v>
      </c>
      <c r="G178" s="45"/>
      <c r="H178" s="46">
        <f t="shared" ref="H178:M178" si="137">IF(H79&lt;&gt;0,H46*1000/H79,"n/a")</f>
        <v>132</v>
      </c>
      <c r="I178" s="46">
        <f t="shared" si="137"/>
        <v>586.08000000000015</v>
      </c>
      <c r="J178" s="46">
        <f t="shared" si="137"/>
        <v>1301.0976000000001</v>
      </c>
      <c r="K178" s="46">
        <f t="shared" si="137"/>
        <v>2166.3275040000003</v>
      </c>
      <c r="L178" s="46">
        <f t="shared" si="137"/>
        <v>4007.7058824000005</v>
      </c>
      <c r="M178" s="46">
        <f t="shared" si="137"/>
        <v>4448.5535294640003</v>
      </c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3.5" customHeight="1" x14ac:dyDescent="0.3">
      <c r="A179" s="43" t="str">
        <f t="shared" si="130"/>
        <v>Barrette a marchio</v>
      </c>
      <c r="B179" s="43"/>
      <c r="C179" s="43"/>
      <c r="D179" s="43" t="s">
        <v>155</v>
      </c>
      <c r="E179" s="62"/>
      <c r="F179" s="45">
        <f t="shared" si="131"/>
        <v>1657294.1623965255</v>
      </c>
      <c r="G179" s="45"/>
      <c r="H179" s="46">
        <f t="shared" ref="H179:M179" si="138">IF(H80&lt;&gt;0,(H47)*1000/H80,"n/a")</f>
        <v>37714.28571428571</v>
      </c>
      <c r="I179" s="46">
        <f t="shared" si="138"/>
        <v>79501.71428571429</v>
      </c>
      <c r="J179" s="46">
        <f t="shared" si="138"/>
        <v>167589.61371428572</v>
      </c>
      <c r="K179" s="46">
        <f t="shared" si="138"/>
        <v>441598.63213714282</v>
      </c>
      <c r="L179" s="46">
        <f t="shared" si="138"/>
        <v>930889.91654509713</v>
      </c>
      <c r="M179" s="46">
        <f t="shared" si="138"/>
        <v>981157.97203853237</v>
      </c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3.5" customHeight="1" x14ac:dyDescent="0.3">
      <c r="A180" s="43" t="str">
        <f t="shared" si="130"/>
        <v>Drink Funzionali</v>
      </c>
      <c r="B180" s="43"/>
      <c r="C180" s="43"/>
      <c r="D180" s="43" t="s">
        <v>155</v>
      </c>
      <c r="E180" s="62"/>
      <c r="F180" s="45">
        <f t="shared" si="131"/>
        <v>6744877.9248768482</v>
      </c>
      <c r="G180" s="45"/>
      <c r="H180" s="46">
        <f t="shared" ref="H180:M180" si="139">IF(H81&lt;&gt;0,(H$34)*1000/H81,"n/a")</f>
        <v>243842.36453201974</v>
      </c>
      <c r="I180" s="46">
        <f t="shared" si="139"/>
        <v>768103.44827586226</v>
      </c>
      <c r="J180" s="46">
        <f t="shared" si="139"/>
        <v>1075344.8275862073</v>
      </c>
      <c r="K180" s="46">
        <f t="shared" si="139"/>
        <v>1693668.1034482762</v>
      </c>
      <c r="L180" s="46">
        <f t="shared" si="139"/>
        <v>2963919.1810344835</v>
      </c>
      <c r="M180" s="46">
        <f t="shared" si="139"/>
        <v>3112115.1400862075</v>
      </c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3.5" customHeight="1" x14ac:dyDescent="0.3">
      <c r="A181" s="43" t="str">
        <f t="shared" si="130"/>
        <v>Phycogel Antivirale</v>
      </c>
      <c r="B181" s="43"/>
      <c r="C181" s="43"/>
      <c r="D181" s="43" t="s">
        <v>155</v>
      </c>
      <c r="E181" s="62"/>
      <c r="F181" s="45">
        <f t="shared" si="131"/>
        <v>710049.75691964303</v>
      </c>
      <c r="G181" s="45"/>
      <c r="H181" s="46">
        <f t="shared" ref="H181:M181" si="140">IF(H82&lt;&gt;0,(H$35)*1000/H82,"n/a")</f>
        <v>2455.3571428571431</v>
      </c>
      <c r="I181" s="46">
        <f t="shared" si="140"/>
        <v>53526.785714285725</v>
      </c>
      <c r="J181" s="46">
        <f t="shared" si="140"/>
        <v>116688.3928571429</v>
      </c>
      <c r="K181" s="46">
        <f t="shared" si="140"/>
        <v>190785.52232142861</v>
      </c>
      <c r="L181" s="46">
        <f t="shared" si="140"/>
        <v>346593.69888392865</v>
      </c>
      <c r="M181" s="46">
        <f t="shared" si="140"/>
        <v>377787.13178348221</v>
      </c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3.5" customHeight="1" x14ac:dyDescent="0.3">
      <c r="A182" s="47" t="s">
        <v>156</v>
      </c>
      <c r="B182" s="47"/>
      <c r="C182" s="47"/>
      <c r="D182" s="47" t="s">
        <v>155</v>
      </c>
      <c r="E182" s="58"/>
      <c r="F182" s="51">
        <f t="shared" si="131"/>
        <v>37707327.548495799</v>
      </c>
      <c r="G182" s="51"/>
      <c r="H182" s="51">
        <f t="shared" ref="H182:M182" si="141">SUM(H173:H181)</f>
        <v>926103.96274630539</v>
      </c>
      <c r="I182" s="51">
        <f t="shared" si="141"/>
        <v>2319568.9882312198</v>
      </c>
      <c r="J182" s="51">
        <f t="shared" si="141"/>
        <v>4354672.6460166536</v>
      </c>
      <c r="K182" s="51">
        <f t="shared" si="141"/>
        <v>9988883.8576046098</v>
      </c>
      <c r="L182" s="51">
        <f t="shared" si="141"/>
        <v>20118098.093897007</v>
      </c>
      <c r="M182" s="51">
        <f t="shared" si="141"/>
        <v>21273642.755764946</v>
      </c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3.5" customHeight="1" x14ac:dyDescent="0.3">
      <c r="A183" s="47"/>
      <c r="B183" s="47"/>
      <c r="C183" s="47"/>
      <c r="D183" s="47"/>
      <c r="E183" s="58"/>
      <c r="F183" s="51"/>
      <c r="G183" s="51"/>
      <c r="H183" s="85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3.5" customHeight="1" x14ac:dyDescent="0.3">
      <c r="A184" s="63" t="s">
        <v>157</v>
      </c>
      <c r="B184" s="43"/>
      <c r="C184" s="43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3.5" customHeight="1" x14ac:dyDescent="0.3">
      <c r="A185" s="43" t="str">
        <f t="shared" ref="A185:A193" si="142">A41</f>
        <v xml:space="preserve">Spirulina Bulk </v>
      </c>
      <c r="B185" s="43"/>
      <c r="C185" s="43"/>
      <c r="D185" s="43" t="s">
        <v>93</v>
      </c>
      <c r="E185" s="62"/>
      <c r="F185" s="45">
        <f t="shared" ref="F185:F195" si="143">SUM(H185:L185)</f>
        <v>2416.9473941812053</v>
      </c>
      <c r="G185" s="45"/>
      <c r="H185" s="46">
        <f t="shared" ref="H185:M185" si="144">H173*H122/1000</f>
        <v>60.243750000000006</v>
      </c>
      <c r="I185" s="46">
        <f t="shared" si="144"/>
        <v>173.55621937499998</v>
      </c>
      <c r="J185" s="46">
        <f t="shared" si="144"/>
        <v>333.33207493162502</v>
      </c>
      <c r="K185" s="46">
        <f t="shared" si="144"/>
        <v>711.33064790408775</v>
      </c>
      <c r="L185" s="46">
        <f t="shared" si="144"/>
        <v>1138.4847019704926</v>
      </c>
      <c r="M185" s="46">
        <f t="shared" si="144"/>
        <v>1349.7368633361286</v>
      </c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3.5" customHeight="1" x14ac:dyDescent="0.3">
      <c r="A186" s="43" t="str">
        <f t="shared" si="142"/>
        <v>Protein from Spirulina Bulk</v>
      </c>
      <c r="B186" s="43"/>
      <c r="C186" s="43"/>
      <c r="D186" s="43" t="s">
        <v>93</v>
      </c>
      <c r="E186" s="62"/>
      <c r="F186" s="45">
        <f t="shared" si="143"/>
        <v>1607.7062091976284</v>
      </c>
      <c r="G186" s="45"/>
      <c r="H186" s="46">
        <f t="shared" ref="H186:M186" si="145">H174*H123/1000</f>
        <v>42.140000000000008</v>
      </c>
      <c r="I186" s="46">
        <f t="shared" si="145"/>
        <v>121.40112599999999</v>
      </c>
      <c r="J186" s="46">
        <f t="shared" si="145"/>
        <v>233.16300259560001</v>
      </c>
      <c r="K186" s="46">
        <f t="shared" si="145"/>
        <v>414.64153961584202</v>
      </c>
      <c r="L186" s="46">
        <f t="shared" si="145"/>
        <v>796.36054098618638</v>
      </c>
      <c r="M186" s="46">
        <f t="shared" si="145"/>
        <v>944.12966359140091</v>
      </c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3.5" customHeight="1" x14ac:dyDescent="0.3">
      <c r="A187" s="43" t="str">
        <f t="shared" si="142"/>
        <v>Spirulina 50 g (tablets or spaghettini)</v>
      </c>
      <c r="B187" s="43"/>
      <c r="C187" s="43"/>
      <c r="D187" s="43" t="s">
        <v>93</v>
      </c>
      <c r="E187" s="62"/>
      <c r="F187" s="45">
        <f t="shared" si="143"/>
        <v>247.5340030805331</v>
      </c>
      <c r="G187" s="45"/>
      <c r="H187" s="46">
        <f t="shared" ref="H187:M187" si="146">H175*H124/1000</f>
        <v>6.169921875</v>
      </c>
      <c r="I187" s="46">
        <f t="shared" si="146"/>
        <v>17.7749279296875</v>
      </c>
      <c r="J187" s="46">
        <f t="shared" si="146"/>
        <v>34.138526581757802</v>
      </c>
      <c r="K187" s="46">
        <f t="shared" si="146"/>
        <v>72.851615725471163</v>
      </c>
      <c r="L187" s="46">
        <f t="shared" si="146"/>
        <v>116.59901096861662</v>
      </c>
      <c r="M187" s="46">
        <f t="shared" si="146"/>
        <v>138.23460522612655</v>
      </c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3.5" customHeight="1" x14ac:dyDescent="0.3">
      <c r="A188" s="43" t="str">
        <f t="shared" si="142"/>
        <v>Alternative meat product</v>
      </c>
      <c r="B188" s="43"/>
      <c r="C188" s="43"/>
      <c r="D188" s="43" t="s">
        <v>93</v>
      </c>
      <c r="E188" s="62"/>
      <c r="F188" s="45">
        <f t="shared" si="143"/>
        <v>2743.3379914575089</v>
      </c>
      <c r="G188" s="45"/>
      <c r="H188" s="46">
        <f t="shared" ref="H188:M188" si="147">H176*H125/1000</f>
        <v>64.978375000000028</v>
      </c>
      <c r="I188" s="46">
        <f t="shared" si="147"/>
        <v>187.19620053750003</v>
      </c>
      <c r="J188" s="46">
        <f t="shared" si="147"/>
        <v>359.52902275232253</v>
      </c>
      <c r="K188" s="46">
        <f t="shared" si="147"/>
        <v>767.23493455345636</v>
      </c>
      <c r="L188" s="46">
        <f t="shared" si="147"/>
        <v>1364.3994586142298</v>
      </c>
      <c r="M188" s="46">
        <f t="shared" si="147"/>
        <v>1455.8142223413836</v>
      </c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3.5" customHeight="1" x14ac:dyDescent="0.3">
      <c r="A189" s="43" t="str">
        <f t="shared" si="142"/>
        <v>Barrette per Terzi</v>
      </c>
      <c r="B189" s="43"/>
      <c r="C189" s="43"/>
      <c r="D189" s="43" t="s">
        <v>93</v>
      </c>
      <c r="E189" s="62"/>
      <c r="F189" s="45">
        <f t="shared" si="143"/>
        <v>7338.6712578818697</v>
      </c>
      <c r="G189" s="45"/>
      <c r="H189" s="46">
        <f t="shared" ref="H189:M189" si="148">H177*H126/1000</f>
        <v>203.99999999999997</v>
      </c>
      <c r="I189" s="46">
        <f t="shared" si="148"/>
        <v>387.02879999999999</v>
      </c>
      <c r="J189" s="46">
        <f t="shared" si="148"/>
        <v>734.27103936000015</v>
      </c>
      <c r="K189" s="46">
        <f t="shared" si="148"/>
        <v>1934.8041887136001</v>
      </c>
      <c r="L189" s="46">
        <f t="shared" si="148"/>
        <v>4078.5672298082691</v>
      </c>
      <c r="M189" s="46">
        <f t="shared" si="148"/>
        <v>4298.8098602179161</v>
      </c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3.5" customHeight="1" x14ac:dyDescent="0.3">
      <c r="A190" s="43" t="str">
        <f t="shared" si="142"/>
        <v>Phycocyanin</v>
      </c>
      <c r="B190" s="43"/>
      <c r="C190" s="43"/>
      <c r="D190" s="43" t="s">
        <v>93</v>
      </c>
      <c r="E190" s="62"/>
      <c r="F190" s="45">
        <f t="shared" si="143"/>
        <v>671.43280989840014</v>
      </c>
      <c r="G190" s="45"/>
      <c r="H190" s="46">
        <f t="shared" ref="H190:M190" si="149">H178*H127/1000</f>
        <v>13.2</v>
      </c>
      <c r="I190" s="46">
        <f t="shared" si="149"/>
        <v>52.747200000000014</v>
      </c>
      <c r="J190" s="46">
        <f t="shared" si="149"/>
        <v>105.3889056</v>
      </c>
      <c r="K190" s="46">
        <f t="shared" si="149"/>
        <v>175.47252782400003</v>
      </c>
      <c r="L190" s="46">
        <f t="shared" si="149"/>
        <v>324.62417647440003</v>
      </c>
      <c r="M190" s="46">
        <f t="shared" si="149"/>
        <v>360.33283588658401</v>
      </c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3.5" customHeight="1" x14ac:dyDescent="0.3">
      <c r="A191" s="43" t="str">
        <f t="shared" si="142"/>
        <v>Barrette a marchio</v>
      </c>
      <c r="B191" s="43"/>
      <c r="C191" s="43"/>
      <c r="D191" s="43" t="s">
        <v>93</v>
      </c>
      <c r="E191" s="62"/>
      <c r="F191" s="45">
        <f t="shared" si="143"/>
        <v>746.23836361059296</v>
      </c>
      <c r="G191" s="45"/>
      <c r="H191" s="46">
        <f t="shared" ref="H191:J191" si="150">H179*H128/1000</f>
        <v>18.857142857142854</v>
      </c>
      <c r="I191" s="46">
        <f t="shared" si="150"/>
        <v>35.775771428571431</v>
      </c>
      <c r="J191" s="46">
        <f t="shared" si="150"/>
        <v>67.873793554285712</v>
      </c>
      <c r="K191" s="46">
        <f>K179*K128/1000+J191/2</f>
        <v>212.78434279268572</v>
      </c>
      <c r="L191" s="46">
        <f t="shared" ref="L191:M191" si="151">L179*L128/1000+J191/2</f>
        <v>410.94731297790725</v>
      </c>
      <c r="M191" s="46">
        <f t="shared" si="151"/>
        <v>503.76115007194846</v>
      </c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3.5" customHeight="1" x14ac:dyDescent="0.3">
      <c r="A192" s="43" t="str">
        <f t="shared" si="142"/>
        <v>Drink Funzionali</v>
      </c>
      <c r="B192" s="43"/>
      <c r="C192" s="43"/>
      <c r="D192" s="43" t="s">
        <v>93</v>
      </c>
      <c r="E192" s="62"/>
      <c r="F192" s="45">
        <f t="shared" si="143"/>
        <v>6589.0823400000008</v>
      </c>
      <c r="G192" s="45"/>
      <c r="H192" s="46">
        <f t="shared" ref="H192:M192" si="152">H180*H129/1000</f>
        <v>288</v>
      </c>
      <c r="I192" s="46">
        <f t="shared" si="152"/>
        <v>816.48000000000013</v>
      </c>
      <c r="J192" s="46">
        <f t="shared" si="152"/>
        <v>1028.7648000000004</v>
      </c>
      <c r="K192" s="46">
        <f t="shared" si="152"/>
        <v>1620.3045600000003</v>
      </c>
      <c r="L192" s="46">
        <f t="shared" si="152"/>
        <v>2835.5329800000004</v>
      </c>
      <c r="M192" s="46">
        <f t="shared" si="152"/>
        <v>2977.3096290000003</v>
      </c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3.5" customHeight="1" x14ac:dyDescent="0.3">
      <c r="A193" s="43" t="str">
        <f t="shared" si="142"/>
        <v>Phycogel Antivirale</v>
      </c>
      <c r="B193" s="43"/>
      <c r="C193" s="43"/>
      <c r="D193" s="43" t="s">
        <v>93</v>
      </c>
      <c r="E193" s="62"/>
      <c r="F193" s="45">
        <f t="shared" si="143"/>
        <v>3482.5453900580369</v>
      </c>
      <c r="G193" s="45"/>
      <c r="H193" s="46">
        <f t="shared" ref="H193:M193" si="153">H181*H130/1000</f>
        <v>14.732142857142859</v>
      </c>
      <c r="I193" s="46">
        <f t="shared" si="153"/>
        <v>289.04464285714295</v>
      </c>
      <c r="J193" s="46">
        <f t="shared" si="153"/>
        <v>567.10558928571459</v>
      </c>
      <c r="K193" s="46">
        <f t="shared" si="153"/>
        <v>927.217638482143</v>
      </c>
      <c r="L193" s="46">
        <f t="shared" si="153"/>
        <v>1684.4453765758933</v>
      </c>
      <c r="M193" s="46">
        <f t="shared" si="153"/>
        <v>1836.0454604677236</v>
      </c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3.5" customHeight="1" x14ac:dyDescent="0.3">
      <c r="A194" s="43" t="s">
        <v>158</v>
      </c>
      <c r="B194" s="43"/>
      <c r="C194" s="43"/>
      <c r="D194" s="43" t="s">
        <v>93</v>
      </c>
      <c r="E194" s="62">
        <v>25</v>
      </c>
      <c r="F194" s="45">
        <f t="shared" si="143"/>
        <v>4837.5</v>
      </c>
      <c r="G194" s="45"/>
      <c r="H194" s="46">
        <f t="shared" ref="H194:M194" si="154">$E$194*H288/1000</f>
        <v>67.5</v>
      </c>
      <c r="I194" s="46">
        <f t="shared" si="154"/>
        <v>292.5</v>
      </c>
      <c r="J194" s="46">
        <f t="shared" si="154"/>
        <v>742.5</v>
      </c>
      <c r="K194" s="46">
        <f t="shared" si="154"/>
        <v>1417.5</v>
      </c>
      <c r="L194" s="46">
        <f t="shared" si="154"/>
        <v>2317.5</v>
      </c>
      <c r="M194" s="46">
        <f t="shared" si="154"/>
        <v>3217.5</v>
      </c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3.5" customHeight="1" x14ac:dyDescent="0.3">
      <c r="A195" s="47" t="s">
        <v>159</v>
      </c>
      <c r="B195" s="47"/>
      <c r="C195" s="47"/>
      <c r="D195" s="47" t="s">
        <v>93</v>
      </c>
      <c r="E195" s="58"/>
      <c r="F195" s="51">
        <f t="shared" si="143"/>
        <v>30680.995759365778</v>
      </c>
      <c r="G195" s="51"/>
      <c r="H195" s="51">
        <f t="shared" ref="H195:M195" si="155">SUM(H185:H194)</f>
        <v>779.8213325892857</v>
      </c>
      <c r="I195" s="51">
        <f t="shared" si="155"/>
        <v>2373.5048881279022</v>
      </c>
      <c r="J195" s="51">
        <f t="shared" si="155"/>
        <v>4206.0667546613058</v>
      </c>
      <c r="K195" s="51">
        <f t="shared" si="155"/>
        <v>8254.1419956112877</v>
      </c>
      <c r="L195" s="51">
        <f t="shared" si="155"/>
        <v>15067.460788375996</v>
      </c>
      <c r="M195" s="51">
        <f t="shared" si="155"/>
        <v>17081.674290139214</v>
      </c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3.5" customHeight="1" x14ac:dyDescent="0.3">
      <c r="A196" s="43"/>
      <c r="B196" s="43"/>
      <c r="C196" s="43"/>
      <c r="D196" s="43"/>
      <c r="E196" s="44"/>
      <c r="F196" s="45"/>
      <c r="G196" s="45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3.5" customHeight="1" x14ac:dyDescent="0.3">
      <c r="A197" s="43"/>
      <c r="B197" s="43"/>
      <c r="C197" s="43"/>
      <c r="D197" s="43"/>
      <c r="E197" s="44"/>
      <c r="F197" s="45"/>
      <c r="G197" s="45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3.5" customHeight="1" x14ac:dyDescent="0.3">
      <c r="A198" s="63" t="s">
        <v>160</v>
      </c>
      <c r="B198" s="43"/>
      <c r="C198" s="43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3.5" customHeight="1" x14ac:dyDescent="0.3">
      <c r="A199" s="43" t="str">
        <f t="shared" ref="A199:A207" si="156">A41</f>
        <v xml:space="preserve">Spirulina Bulk </v>
      </c>
      <c r="B199" s="43"/>
      <c r="C199" s="43"/>
      <c r="D199" s="43" t="s">
        <v>161</v>
      </c>
      <c r="E199" s="62"/>
      <c r="F199" s="45">
        <f t="shared" ref="F199:F208" si="157">SUM(H199:L199)</f>
        <v>196555.18187190988</v>
      </c>
      <c r="G199" s="45"/>
      <c r="H199" s="46">
        <f t="shared" ref="H199:M199" si="158">IF(H173&lt;&gt;0,H173*$D134/1000,0)</f>
        <v>4016.2500000000005</v>
      </c>
      <c r="I199" s="46">
        <f t="shared" si="158"/>
        <v>12856.016249999999</v>
      </c>
      <c r="J199" s="46">
        <f t="shared" si="158"/>
        <v>27434.738677500001</v>
      </c>
      <c r="K199" s="46">
        <f t="shared" si="158"/>
        <v>58545.732337784997</v>
      </c>
      <c r="L199" s="46">
        <f t="shared" si="158"/>
        <v>93702.444606624893</v>
      </c>
      <c r="M199" s="46">
        <f t="shared" si="158"/>
        <v>111089.45377252086</v>
      </c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3.5" customHeight="1" x14ac:dyDescent="0.3">
      <c r="A200" s="43" t="str">
        <f t="shared" si="156"/>
        <v>Protein from Spirulina Bulk</v>
      </c>
      <c r="B200" s="43"/>
      <c r="C200" s="43"/>
      <c r="D200" s="43" t="s">
        <v>161</v>
      </c>
      <c r="E200" s="62"/>
      <c r="F200" s="45">
        <f t="shared" si="157"/>
        <v>489987.49894988525</v>
      </c>
      <c r="G200" s="45"/>
      <c r="H200" s="46">
        <f t="shared" ref="H200:M200" si="159">IF(H174&lt;&gt;0,H174*$D135/1000,0)</f>
        <v>10535.000000000002</v>
      </c>
      <c r="I200" s="46">
        <f t="shared" si="159"/>
        <v>33722.534999999989</v>
      </c>
      <c r="J200" s="46">
        <f t="shared" si="159"/>
        <v>71963.889689999996</v>
      </c>
      <c r="K200" s="46">
        <f t="shared" si="159"/>
        <v>127975.78383205</v>
      </c>
      <c r="L200" s="46">
        <f t="shared" si="159"/>
        <v>245790.29042783528</v>
      </c>
      <c r="M200" s="46">
        <f t="shared" si="159"/>
        <v>291398.04431833362</v>
      </c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3.5" customHeight="1" x14ac:dyDescent="0.3">
      <c r="A201" s="43" t="str">
        <f t="shared" si="156"/>
        <v>Spirulina 50 g (tablets or spaghettini)</v>
      </c>
      <c r="B201" s="43"/>
      <c r="C201" s="43"/>
      <c r="D201" s="43" t="s">
        <v>161</v>
      </c>
      <c r="E201" s="62"/>
      <c r="F201" s="45">
        <f t="shared" si="157"/>
        <v>7742.4572691140975</v>
      </c>
      <c r="G201" s="45"/>
      <c r="H201" s="46">
        <f t="shared" ref="H201:M201" si="160">IF(H175&lt;&gt;0,H175*$D136/1000,0)</f>
        <v>158.203125</v>
      </c>
      <c r="I201" s="46">
        <f t="shared" si="160"/>
        <v>506.408203125</v>
      </c>
      <c r="J201" s="46">
        <f t="shared" si="160"/>
        <v>1080.6751054687497</v>
      </c>
      <c r="K201" s="46">
        <f t="shared" si="160"/>
        <v>2306.1606750703122</v>
      </c>
      <c r="L201" s="46">
        <f t="shared" si="160"/>
        <v>3691.0101604500355</v>
      </c>
      <c r="M201" s="46">
        <f t="shared" si="160"/>
        <v>4375.8976013335414</v>
      </c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3.5" customHeight="1" x14ac:dyDescent="0.3">
      <c r="A202" s="43" t="str">
        <f t="shared" si="156"/>
        <v>Alternative meat product</v>
      </c>
      <c r="B202" s="43"/>
      <c r="C202" s="43"/>
      <c r="D202" s="43" t="s">
        <v>161</v>
      </c>
      <c r="E202" s="62"/>
      <c r="F202" s="45">
        <f t="shared" si="157"/>
        <v>469214.39461651875</v>
      </c>
      <c r="G202" s="45"/>
      <c r="H202" s="46">
        <f t="shared" ref="H202:M202" si="161">IF(H176&lt;&gt;0,H176*$D137/1000,0)</f>
        <v>9105.2500000000036</v>
      </c>
      <c r="I202" s="46">
        <f t="shared" si="161"/>
        <v>29145.905250000003</v>
      </c>
      <c r="J202" s="46">
        <f t="shared" si="161"/>
        <v>62197.361803500004</v>
      </c>
      <c r="K202" s="46">
        <f t="shared" si="161"/>
        <v>132729.17008866902</v>
      </c>
      <c r="L202" s="46">
        <f t="shared" si="161"/>
        <v>236036.70747434974</v>
      </c>
      <c r="M202" s="46">
        <f t="shared" si="161"/>
        <v>251851.16687513122</v>
      </c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3.5" customHeight="1" x14ac:dyDescent="0.3">
      <c r="A203" s="43" t="str">
        <f t="shared" si="156"/>
        <v>Barrette per Terzi</v>
      </c>
      <c r="B203" s="43"/>
      <c r="C203" s="43"/>
      <c r="D203" s="43" t="s">
        <v>161</v>
      </c>
      <c r="E203" s="62"/>
      <c r="F203" s="45">
        <f t="shared" si="157"/>
        <v>2561272.7964309938</v>
      </c>
      <c r="G203" s="45"/>
      <c r="H203" s="46">
        <f t="shared" ref="H203:M203" si="162">IF(H177&lt;&gt;0,H177*$D138/1000,0)</f>
        <v>58285.714285714283</v>
      </c>
      <c r="I203" s="46">
        <f t="shared" si="162"/>
        <v>122866.2857142857</v>
      </c>
      <c r="J203" s="46">
        <f t="shared" si="162"/>
        <v>259002.13028571432</v>
      </c>
      <c r="K203" s="46">
        <f t="shared" si="162"/>
        <v>682470.61330285715</v>
      </c>
      <c r="L203" s="46">
        <f t="shared" si="162"/>
        <v>1438648.0528424226</v>
      </c>
      <c r="M203" s="46">
        <f t="shared" si="162"/>
        <v>1516335.0476959138</v>
      </c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3.5" customHeight="1" x14ac:dyDescent="0.3">
      <c r="A204" s="43" t="str">
        <f t="shared" si="156"/>
        <v>Phycocyanin</v>
      </c>
      <c r="B204" s="43"/>
      <c r="C204" s="43"/>
      <c r="D204" s="43" t="s">
        <v>161</v>
      </c>
      <c r="E204" s="62"/>
      <c r="F204" s="45">
        <f t="shared" si="157"/>
        <v>8193.2109864000013</v>
      </c>
      <c r="G204" s="45"/>
      <c r="H204" s="46">
        <f t="shared" ref="H204:M204" si="163">IF(H178&lt;&gt;0,H178*$D139/1000,0)</f>
        <v>132</v>
      </c>
      <c r="I204" s="46">
        <f t="shared" si="163"/>
        <v>586.08000000000015</v>
      </c>
      <c r="J204" s="46">
        <f t="shared" si="163"/>
        <v>1301.0976000000001</v>
      </c>
      <c r="K204" s="46">
        <f t="shared" si="163"/>
        <v>2166.3275040000003</v>
      </c>
      <c r="L204" s="46">
        <f t="shared" si="163"/>
        <v>4007.7058824000005</v>
      </c>
      <c r="M204" s="46">
        <f t="shared" si="163"/>
        <v>4448.5535294640003</v>
      </c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3.5" customHeight="1" x14ac:dyDescent="0.3">
      <c r="A205" s="43" t="str">
        <f t="shared" si="156"/>
        <v>Barrette a marchio</v>
      </c>
      <c r="B205" s="43"/>
      <c r="C205" s="43"/>
      <c r="D205" s="43" t="s">
        <v>161</v>
      </c>
      <c r="E205" s="62"/>
      <c r="F205" s="45">
        <f t="shared" si="157"/>
        <v>43089.648222309668</v>
      </c>
      <c r="G205" s="45"/>
      <c r="H205" s="46">
        <f t="shared" ref="H205:M205" si="164">IF(H179&lt;&gt;0,H179*$D140/1000,0)</f>
        <v>980.57142857142844</v>
      </c>
      <c r="I205" s="46">
        <f t="shared" si="164"/>
        <v>2067.0445714285715</v>
      </c>
      <c r="J205" s="46">
        <f t="shared" si="164"/>
        <v>4357.3299565714287</v>
      </c>
      <c r="K205" s="46">
        <f t="shared" si="164"/>
        <v>11481.564435565713</v>
      </c>
      <c r="L205" s="46">
        <f t="shared" si="164"/>
        <v>24203.137830172524</v>
      </c>
      <c r="M205" s="46">
        <f t="shared" si="164"/>
        <v>25510.107273001842</v>
      </c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3.5" customHeight="1" x14ac:dyDescent="0.3">
      <c r="A206" s="43" t="str">
        <f t="shared" si="156"/>
        <v>Drink Funzionali</v>
      </c>
      <c r="B206" s="43"/>
      <c r="C206" s="43"/>
      <c r="D206" s="43" t="s">
        <v>161</v>
      </c>
      <c r="E206" s="62"/>
      <c r="F206" s="45">
        <f t="shared" si="157"/>
        <v>674487.79248768487</v>
      </c>
      <c r="G206" s="45"/>
      <c r="H206" s="46">
        <f t="shared" ref="H206:M206" si="165">IF(H180&lt;&gt;0,H180*$D141/1000,0)</f>
        <v>24384.236453201975</v>
      </c>
      <c r="I206" s="46">
        <f t="shared" si="165"/>
        <v>76810.344827586232</v>
      </c>
      <c r="J206" s="46">
        <f t="shared" si="165"/>
        <v>107534.48275862072</v>
      </c>
      <c r="K206" s="46">
        <f t="shared" si="165"/>
        <v>169366.81034482762</v>
      </c>
      <c r="L206" s="46">
        <f t="shared" si="165"/>
        <v>296391.91810344835</v>
      </c>
      <c r="M206" s="46">
        <f t="shared" si="165"/>
        <v>311211.51400862075</v>
      </c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3.5" customHeight="1" x14ac:dyDescent="0.3">
      <c r="A207" s="43" t="str">
        <f t="shared" si="156"/>
        <v>Phycogel Antivirale</v>
      </c>
      <c r="B207" s="43"/>
      <c r="C207" s="43"/>
      <c r="D207" s="43" t="s">
        <v>161</v>
      </c>
      <c r="E207" s="62"/>
      <c r="F207" s="45">
        <f t="shared" si="157"/>
        <v>71004.975691964297</v>
      </c>
      <c r="G207" s="45"/>
      <c r="H207" s="46">
        <f t="shared" ref="H207:M207" si="166">IF(H181&lt;&gt;0,H181*$D142/1000,0)</f>
        <v>245.53571428571431</v>
      </c>
      <c r="I207" s="46">
        <f t="shared" si="166"/>
        <v>5352.6785714285725</v>
      </c>
      <c r="J207" s="46">
        <f t="shared" si="166"/>
        <v>11668.83928571429</v>
      </c>
      <c r="K207" s="46">
        <f t="shared" si="166"/>
        <v>19078.552232142862</v>
      </c>
      <c r="L207" s="46">
        <f t="shared" si="166"/>
        <v>34659.369888392866</v>
      </c>
      <c r="M207" s="46">
        <f t="shared" si="166"/>
        <v>37778.713178348218</v>
      </c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3.5" customHeight="1" x14ac:dyDescent="0.3">
      <c r="A208" s="47" t="s">
        <v>162</v>
      </c>
      <c r="B208" s="47"/>
      <c r="C208" s="47"/>
      <c r="D208" s="47" t="s">
        <v>161</v>
      </c>
      <c r="E208" s="58"/>
      <c r="F208" s="51">
        <f t="shared" si="157"/>
        <v>4521547.9565267805</v>
      </c>
      <c r="G208" s="51"/>
      <c r="H208" s="51">
        <f t="shared" ref="H208:M208" si="167">SUM(H199:H207)</f>
        <v>107842.76100677341</v>
      </c>
      <c r="I208" s="51">
        <f t="shared" si="167"/>
        <v>283913.29838785407</v>
      </c>
      <c r="J208" s="51">
        <f t="shared" si="167"/>
        <v>546540.54516308953</v>
      </c>
      <c r="K208" s="51">
        <f t="shared" si="167"/>
        <v>1206120.7147529677</v>
      </c>
      <c r="L208" s="51">
        <f t="shared" si="167"/>
        <v>2377130.6372160963</v>
      </c>
      <c r="M208" s="51">
        <f t="shared" si="167"/>
        <v>2553998.498252668</v>
      </c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3.5" customHeight="1" x14ac:dyDescent="0.3">
      <c r="A209" s="47"/>
      <c r="B209" s="47"/>
      <c r="C209" s="47"/>
      <c r="D209" s="47"/>
      <c r="E209" s="58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3.5" customHeight="1" x14ac:dyDescent="0.3">
      <c r="A210" s="35"/>
      <c r="B210" s="35"/>
      <c r="C210" s="35"/>
      <c r="D210" s="35"/>
      <c r="E210" s="36"/>
      <c r="F210" s="36" t="s">
        <v>163</v>
      </c>
      <c r="G210" s="36"/>
      <c r="H210" s="37" t="s">
        <v>81</v>
      </c>
      <c r="I210" s="37" t="s">
        <v>82</v>
      </c>
      <c r="J210" s="37" t="s">
        <v>83</v>
      </c>
      <c r="K210" s="37" t="s">
        <v>84</v>
      </c>
      <c r="L210" s="37" t="s">
        <v>85</v>
      </c>
      <c r="M210" s="37" t="s">
        <v>86</v>
      </c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3.5" customHeight="1" x14ac:dyDescent="0.3">
      <c r="A211" s="40" t="s">
        <v>164</v>
      </c>
      <c r="B211" s="68"/>
      <c r="C211" s="68"/>
      <c r="D211" s="40" t="s">
        <v>89</v>
      </c>
      <c r="E211" s="39" t="s">
        <v>115</v>
      </c>
      <c r="F211" s="39" t="s">
        <v>142</v>
      </c>
      <c r="G211" s="39"/>
      <c r="H211" s="57">
        <f t="shared" ref="H211:M211" si="168">H$58</f>
        <v>2022</v>
      </c>
      <c r="I211" s="57">
        <f t="shared" si="168"/>
        <v>2023</v>
      </c>
      <c r="J211" s="57">
        <f t="shared" si="168"/>
        <v>2024</v>
      </c>
      <c r="K211" s="57">
        <f t="shared" si="168"/>
        <v>2025</v>
      </c>
      <c r="L211" s="57">
        <f t="shared" si="168"/>
        <v>2026</v>
      </c>
      <c r="M211" s="57">
        <f t="shared" si="168"/>
        <v>2027</v>
      </c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3.5" customHeight="1" x14ac:dyDescent="0.3">
      <c r="A212" s="43"/>
      <c r="B212" s="43"/>
      <c r="C212" s="43"/>
      <c r="D212" s="43"/>
      <c r="E212" s="44"/>
      <c r="F212" s="45"/>
      <c r="G212" s="45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3.5" customHeight="1" x14ac:dyDescent="0.3">
      <c r="A213" s="43" t="str">
        <f t="shared" ref="A213:A221" si="169">A199</f>
        <v xml:space="preserve">Spirulina Bulk </v>
      </c>
      <c r="B213" s="43"/>
      <c r="C213" s="43"/>
      <c r="D213" s="43"/>
      <c r="E213" s="44"/>
      <c r="F213" s="45"/>
      <c r="G213" s="45"/>
      <c r="H213" s="46">
        <f t="shared" ref="H213:M213" si="170">AVERAGE(H41,I41)/360*$E$223</f>
        <v>35.150554687499998</v>
      </c>
      <c r="I213" s="46">
        <f t="shared" si="170"/>
        <v>83.939072765624999</v>
      </c>
      <c r="J213" s="46">
        <f t="shared" si="170"/>
        <v>179.12598128184376</v>
      </c>
      <c r="K213" s="46">
        <f t="shared" si="170"/>
        <v>317.18370196752056</v>
      </c>
      <c r="L213" s="46">
        <f t="shared" si="170"/>
        <v>426.64978828988689</v>
      </c>
      <c r="M213" s="46">
        <f t="shared" si="170"/>
        <v>462.87272405217021</v>
      </c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3.5" customHeight="1" x14ac:dyDescent="0.3">
      <c r="A214" s="43" t="str">
        <f t="shared" si="169"/>
        <v>Protein from Spirulina Bulk</v>
      </c>
      <c r="B214" s="43"/>
      <c r="C214" s="43"/>
      <c r="D214" s="43"/>
      <c r="E214" s="44"/>
      <c r="F214" s="45"/>
      <c r="G214" s="45"/>
      <c r="H214" s="46">
        <f t="shared" ref="H214:M214" si="171">AVERAGE(H42,I42)/360*$E$223</f>
        <v>36.881279166666666</v>
      </c>
      <c r="I214" s="46">
        <f t="shared" si="171"/>
        <v>88.072020574999996</v>
      </c>
      <c r="J214" s="46">
        <f t="shared" si="171"/>
        <v>166.61639460170832</v>
      </c>
      <c r="K214" s="46">
        <f t="shared" si="171"/>
        <v>311.47172854990441</v>
      </c>
      <c r="L214" s="46">
        <f t="shared" si="171"/>
        <v>447.65694562180738</v>
      </c>
      <c r="M214" s="46">
        <f t="shared" si="171"/>
        <v>485.66340719722268</v>
      </c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3.5" customHeight="1" x14ac:dyDescent="0.3">
      <c r="A215" s="43" t="str">
        <f t="shared" si="169"/>
        <v>Spirulina 50 g (tablets or spaghettini)</v>
      </c>
      <c r="B215" s="43"/>
      <c r="C215" s="43"/>
      <c r="D215" s="43"/>
      <c r="E215" s="44"/>
      <c r="F215" s="45"/>
      <c r="G215" s="45"/>
      <c r="H215" s="46">
        <f t="shared" ref="H215:M215" si="172">AVERAGE(H43,I43)/360*$E$223</f>
        <v>6.2030390624999994</v>
      </c>
      <c r="I215" s="46">
        <f t="shared" si="172"/>
        <v>14.812777546874997</v>
      </c>
      <c r="J215" s="46">
        <f t="shared" si="172"/>
        <v>31.610467285031245</v>
      </c>
      <c r="K215" s="46">
        <f t="shared" si="172"/>
        <v>55.973594464856575</v>
      </c>
      <c r="L215" s="46">
        <f t="shared" si="172"/>
        <v>75.291139109980037</v>
      </c>
      <c r="M215" s="46">
        <f t="shared" si="172"/>
        <v>81.683421891559433</v>
      </c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3.5" customHeight="1" x14ac:dyDescent="0.3">
      <c r="A216" s="43" t="str">
        <f t="shared" si="169"/>
        <v>Alternative meat product</v>
      </c>
      <c r="B216" s="43"/>
      <c r="C216" s="43"/>
      <c r="D216" s="43"/>
      <c r="E216" s="44"/>
      <c r="F216" s="45"/>
      <c r="G216" s="45"/>
      <c r="H216" s="46">
        <f t="shared" ref="H216:M216" si="173">AVERAGE(H44,I44)/360*$E$223</f>
        <v>18.440639583333333</v>
      </c>
      <c r="I216" s="46">
        <f t="shared" si="173"/>
        <v>44.036010287499998</v>
      </c>
      <c r="J216" s="46">
        <f t="shared" si="173"/>
        <v>93.972845953524995</v>
      </c>
      <c r="K216" s="46">
        <f t="shared" si="173"/>
        <v>177.77969304002281</v>
      </c>
      <c r="L216" s="46">
        <f t="shared" si="173"/>
        <v>235.20765292330347</v>
      </c>
      <c r="M216" s="46">
        <f t="shared" si="173"/>
        <v>242.83170359861134</v>
      </c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3.5" customHeight="1" x14ac:dyDescent="0.3">
      <c r="A217" s="43" t="str">
        <f t="shared" si="169"/>
        <v>Barrette per Terzi</v>
      </c>
      <c r="B217" s="43"/>
      <c r="C217" s="43"/>
      <c r="D217" s="43"/>
      <c r="E217" s="44"/>
      <c r="F217" s="45"/>
      <c r="G217" s="45"/>
      <c r="H217" s="46">
        <f t="shared" ref="H217:M217" si="174">AVERAGE(H45,I45)/360*$E$223</f>
        <v>21.134400000000003</v>
      </c>
      <c r="I217" s="46">
        <f t="shared" si="174"/>
        <v>44.551315200000019</v>
      </c>
      <c r="J217" s="46">
        <f t="shared" si="174"/>
        <v>109.83848675200001</v>
      </c>
      <c r="K217" s="46">
        <f t="shared" si="174"/>
        <v>247.46384438361605</v>
      </c>
      <c r="L217" s="46">
        <f t="shared" si="174"/>
        <v>344.74802839613938</v>
      </c>
      <c r="M217" s="46">
        <f t="shared" si="174"/>
        <v>353.81151112904661</v>
      </c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3.5" customHeight="1" x14ac:dyDescent="0.3">
      <c r="A218" s="43" t="str">
        <f t="shared" si="169"/>
        <v>Phycocyanin</v>
      </c>
      <c r="B218" s="43"/>
      <c r="C218" s="43"/>
      <c r="D218" s="43"/>
      <c r="E218" s="44"/>
      <c r="F218" s="45"/>
      <c r="G218" s="45"/>
      <c r="H218" s="46">
        <f t="shared" ref="H218:M218" si="175">AVERAGE(H46,I46)/360*$E$223</f>
        <v>13.600000000000001</v>
      </c>
      <c r="I218" s="46">
        <f t="shared" si="175"/>
        <v>35.741999999999997</v>
      </c>
      <c r="J218" s="46">
        <f t="shared" si="175"/>
        <v>65.670929999999998</v>
      </c>
      <c r="K218" s="46">
        <f t="shared" si="175"/>
        <v>116.9324505</v>
      </c>
      <c r="L218" s="46">
        <f t="shared" si="175"/>
        <v>160.15642825500001</v>
      </c>
      <c r="M218" s="46">
        <f t="shared" si="175"/>
        <v>168.50581550999999</v>
      </c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3.5" customHeight="1" x14ac:dyDescent="0.3">
      <c r="A219" s="43" t="str">
        <f t="shared" si="169"/>
        <v>Barrette a marchio</v>
      </c>
      <c r="B219" s="43"/>
      <c r="C219" s="43"/>
      <c r="D219" s="43"/>
      <c r="E219" s="44"/>
      <c r="F219" s="45"/>
      <c r="G219" s="45"/>
      <c r="H219" s="46">
        <f t="shared" ref="H219:M219" si="176">AVERAGE(H47,I47)/360*$E$223</f>
        <v>3.7296</v>
      </c>
      <c r="I219" s="46">
        <f t="shared" si="176"/>
        <v>7.8619968</v>
      </c>
      <c r="J219" s="46">
        <f t="shared" si="176"/>
        <v>19.383262368</v>
      </c>
      <c r="K219" s="46">
        <f t="shared" si="176"/>
        <v>43.670090185344002</v>
      </c>
      <c r="L219" s="46">
        <f t="shared" si="176"/>
        <v>60.837887364024574</v>
      </c>
      <c r="M219" s="46">
        <f t="shared" si="176"/>
        <v>62.437325493361151</v>
      </c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3.5" customHeight="1" x14ac:dyDescent="0.3">
      <c r="A220" s="43" t="str">
        <f t="shared" si="169"/>
        <v>Drink Funzionali</v>
      </c>
      <c r="B220" s="43"/>
      <c r="C220" s="43"/>
      <c r="D220" s="43"/>
      <c r="E220" s="44"/>
      <c r="F220" s="45"/>
      <c r="G220" s="45"/>
      <c r="H220" s="46">
        <f t="shared" ref="H220:M220" si="177">AVERAGE(H48,I48)/360*$E$223</f>
        <v>73.366071428571431</v>
      </c>
      <c r="I220" s="46">
        <f t="shared" si="177"/>
        <v>133.65</v>
      </c>
      <c r="J220" s="46">
        <f t="shared" si="177"/>
        <v>200.75343750000002</v>
      </c>
      <c r="K220" s="46">
        <f t="shared" si="177"/>
        <v>337.67507812500003</v>
      </c>
      <c r="L220" s="46">
        <f t="shared" si="177"/>
        <v>440.51248828125</v>
      </c>
      <c r="M220" s="46">
        <f t="shared" si="177"/>
        <v>451.25669531249997</v>
      </c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3.5" customHeight="1" x14ac:dyDescent="0.3">
      <c r="A221" s="43" t="str">
        <f t="shared" si="169"/>
        <v>Phycogel Antivirale</v>
      </c>
      <c r="B221" s="43"/>
      <c r="C221" s="43"/>
      <c r="D221" s="43"/>
      <c r="E221" s="44"/>
      <c r="F221" s="45"/>
      <c r="G221" s="45"/>
      <c r="H221" s="46">
        <f t="shared" ref="H221:M221" si="178">AVERAGE(H49,I49)/360*$E$223</f>
        <v>23.75</v>
      </c>
      <c r="I221" s="46">
        <f t="shared" si="178"/>
        <v>72.212500000000006</v>
      </c>
      <c r="J221" s="46">
        <f t="shared" si="178"/>
        <v>130.44347916666669</v>
      </c>
      <c r="K221" s="46">
        <f t="shared" si="178"/>
        <v>227.97906354166665</v>
      </c>
      <c r="L221" s="46">
        <f t="shared" si="178"/>
        <v>307.31307967708335</v>
      </c>
      <c r="M221" s="46">
        <f t="shared" si="178"/>
        <v>320.54665727083329</v>
      </c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3.5" customHeight="1" x14ac:dyDescent="0.3">
      <c r="A222" s="43"/>
      <c r="B222" s="43"/>
      <c r="C222" s="43"/>
      <c r="D222" s="43" t="s">
        <v>93</v>
      </c>
      <c r="E222" s="44"/>
      <c r="F222" s="45">
        <f t="shared" ref="F222:F223" si="179">SUM(H222:L222)</f>
        <v>6089.0512446887515</v>
      </c>
      <c r="G222" s="45"/>
      <c r="H222" s="46">
        <f t="shared" ref="H222:M222" si="180">SUM(H213:H221)</f>
        <v>232.25558392857141</v>
      </c>
      <c r="I222" s="46">
        <f t="shared" si="180"/>
        <v>524.87769317499999</v>
      </c>
      <c r="J222" s="46">
        <f t="shared" si="180"/>
        <v>997.41528490877499</v>
      </c>
      <c r="K222" s="46">
        <f t="shared" si="180"/>
        <v>1836.129244757931</v>
      </c>
      <c r="L222" s="46">
        <f t="shared" si="180"/>
        <v>2498.3734379184748</v>
      </c>
      <c r="M222" s="46">
        <f t="shared" si="180"/>
        <v>2629.6092614553049</v>
      </c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3.5" customHeight="1" x14ac:dyDescent="0.3">
      <c r="A223" s="43" t="s">
        <v>165</v>
      </c>
      <c r="B223" s="43"/>
      <c r="C223" s="43"/>
      <c r="D223" s="43" t="s">
        <v>93</v>
      </c>
      <c r="E223" s="44">
        <v>30</v>
      </c>
      <c r="F223" s="45">
        <f t="shared" si="179"/>
        <v>5957.8154211519222</v>
      </c>
      <c r="G223" s="45"/>
      <c r="H223" s="45">
        <f>AVERAGE(H51,I51)/360*$E$223</f>
        <v>232.25558392857147</v>
      </c>
      <c r="I223" s="45">
        <f t="shared" ref="I223:K223" si="181">AVERAGE(I51,J51)/360*$E223</f>
        <v>524.87769317499999</v>
      </c>
      <c r="J223" s="45">
        <f t="shared" si="181"/>
        <v>997.41528490877488</v>
      </c>
      <c r="K223" s="45">
        <f t="shared" si="181"/>
        <v>1836.1292447579308</v>
      </c>
      <c r="L223" s="45">
        <f t="shared" ref="L223:M223" si="182">AVERAGE(L51)/360*$E223</f>
        <v>2367.1376143816451</v>
      </c>
      <c r="M223" s="45">
        <f t="shared" si="182"/>
        <v>2629.6092614553049</v>
      </c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3.5" customHeight="1" x14ac:dyDescent="0.3">
      <c r="A224" s="43"/>
      <c r="B224" s="43"/>
      <c r="C224" s="43"/>
      <c r="D224" s="43"/>
      <c r="E224" s="44"/>
      <c r="F224" s="45"/>
      <c r="G224" s="45"/>
      <c r="H224" s="46"/>
      <c r="I224" s="46"/>
      <c r="J224" s="46"/>
      <c r="K224" s="46"/>
      <c r="L224" s="46"/>
      <c r="M224" s="46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3.5" customHeight="1" x14ac:dyDescent="0.3">
      <c r="A225" s="43"/>
      <c r="B225" s="43"/>
      <c r="C225" s="43"/>
      <c r="D225" s="43"/>
      <c r="E225" s="44"/>
      <c r="F225" s="37" t="s">
        <v>166</v>
      </c>
      <c r="G225" s="37"/>
      <c r="H225" s="37" t="s">
        <v>81</v>
      </c>
      <c r="I225" s="37" t="s">
        <v>82</v>
      </c>
      <c r="J225" s="37" t="s">
        <v>83</v>
      </c>
      <c r="K225" s="37" t="s">
        <v>84</v>
      </c>
      <c r="L225" s="37" t="s">
        <v>85</v>
      </c>
      <c r="M225" s="37" t="s">
        <v>86</v>
      </c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3.5" customHeight="1" x14ac:dyDescent="0.3">
      <c r="A226" s="46"/>
      <c r="B226" s="46"/>
      <c r="C226" s="46"/>
      <c r="D226" s="46"/>
      <c r="E226" s="44"/>
      <c r="F226" s="86">
        <f>H226-1</f>
        <v>2021</v>
      </c>
      <c r="G226" s="86"/>
      <c r="H226" s="86">
        <f t="shared" ref="H226:M226" si="183">H$58</f>
        <v>2022</v>
      </c>
      <c r="I226" s="86">
        <f t="shared" si="183"/>
        <v>2023</v>
      </c>
      <c r="J226" s="86">
        <f t="shared" si="183"/>
        <v>2024</v>
      </c>
      <c r="K226" s="86">
        <f t="shared" si="183"/>
        <v>2025</v>
      </c>
      <c r="L226" s="86">
        <f t="shared" si="183"/>
        <v>2026</v>
      </c>
      <c r="M226" s="86">
        <f t="shared" si="183"/>
        <v>2027</v>
      </c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3.5" customHeight="1" x14ac:dyDescent="0.3">
      <c r="A227" s="43" t="s">
        <v>167</v>
      </c>
      <c r="B227" s="43"/>
      <c r="C227" s="43"/>
      <c r="D227" s="43" t="s">
        <v>93</v>
      </c>
      <c r="E227" s="44"/>
      <c r="F227" s="45"/>
      <c r="G227" s="45"/>
      <c r="H227" s="46">
        <f>F229</f>
        <v>80</v>
      </c>
      <c r="I227" s="46">
        <f t="shared" ref="I227:M227" si="184">H229</f>
        <v>232.25558392857147</v>
      </c>
      <c r="J227" s="46">
        <f t="shared" si="184"/>
        <v>524.87769317499999</v>
      </c>
      <c r="K227" s="46">
        <f t="shared" si="184"/>
        <v>997.41528490877488</v>
      </c>
      <c r="L227" s="46">
        <f t="shared" si="184"/>
        <v>1836.1292447579308</v>
      </c>
      <c r="M227" s="46">
        <f t="shared" si="184"/>
        <v>2367.1376143816451</v>
      </c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3.5" customHeight="1" x14ac:dyDescent="0.3">
      <c r="A228" s="43" t="s">
        <v>168</v>
      </c>
      <c r="B228" s="43"/>
      <c r="C228" s="43"/>
      <c r="D228" s="43" t="s">
        <v>93</v>
      </c>
      <c r="E228" s="44"/>
      <c r="F228" s="45"/>
      <c r="G228" s="45"/>
      <c r="H228" s="46">
        <f t="shared" ref="H228:M228" si="185">H229</f>
        <v>232.25558392857147</v>
      </c>
      <c r="I228" s="46">
        <f t="shared" si="185"/>
        <v>524.87769317499999</v>
      </c>
      <c r="J228" s="46">
        <f t="shared" si="185"/>
        <v>997.41528490877488</v>
      </c>
      <c r="K228" s="46">
        <f t="shared" si="185"/>
        <v>1836.1292447579308</v>
      </c>
      <c r="L228" s="46">
        <f t="shared" si="185"/>
        <v>2367.1376143816451</v>
      </c>
      <c r="M228" s="46">
        <f t="shared" si="185"/>
        <v>2629.6092614553049</v>
      </c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3.5" customHeight="1" x14ac:dyDescent="0.3">
      <c r="A229" s="47" t="s">
        <v>169</v>
      </c>
      <c r="B229" s="47"/>
      <c r="C229" s="47"/>
      <c r="D229" s="47" t="s">
        <v>93</v>
      </c>
      <c r="E229" s="58"/>
      <c r="F229" s="58">
        <v>80</v>
      </c>
      <c r="G229" s="58"/>
      <c r="H229" s="51">
        <f t="shared" ref="H229:M229" si="186">H223</f>
        <v>232.25558392857147</v>
      </c>
      <c r="I229" s="51">
        <f t="shared" si="186"/>
        <v>524.87769317499999</v>
      </c>
      <c r="J229" s="51">
        <f t="shared" si="186"/>
        <v>997.41528490877488</v>
      </c>
      <c r="K229" s="51">
        <f t="shared" si="186"/>
        <v>1836.1292447579308</v>
      </c>
      <c r="L229" s="51">
        <f t="shared" si="186"/>
        <v>2367.1376143816451</v>
      </c>
      <c r="M229" s="51">
        <f t="shared" si="186"/>
        <v>2629.6092614553049</v>
      </c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3.5" customHeight="1" x14ac:dyDescent="0.3">
      <c r="A230" s="43" t="s">
        <v>170</v>
      </c>
      <c r="B230" s="43"/>
      <c r="C230" s="43"/>
      <c r="D230" s="43" t="s">
        <v>93</v>
      </c>
      <c r="E230" s="44"/>
      <c r="F230" s="45"/>
      <c r="G230" s="45"/>
      <c r="H230" s="46">
        <f>H229-F229</f>
        <v>152.25558392857147</v>
      </c>
      <c r="I230" s="46">
        <f t="shared" ref="I230:M230" si="187">I229-H229</f>
        <v>292.62210924642852</v>
      </c>
      <c r="J230" s="46">
        <f t="shared" si="187"/>
        <v>472.53759173377489</v>
      </c>
      <c r="K230" s="46">
        <f t="shared" si="187"/>
        <v>838.71395984915591</v>
      </c>
      <c r="L230" s="46">
        <f t="shared" si="187"/>
        <v>531.00836962371432</v>
      </c>
      <c r="M230" s="46">
        <f t="shared" si="187"/>
        <v>262.47164707365982</v>
      </c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3.5" customHeight="1" x14ac:dyDescent="0.3">
      <c r="A231" s="43"/>
      <c r="B231" s="43"/>
      <c r="C231" s="43"/>
      <c r="D231" s="43"/>
      <c r="E231" s="44"/>
      <c r="F231" s="45"/>
      <c r="G231" s="87" t="s">
        <v>171</v>
      </c>
      <c r="H231" s="46">
        <f t="shared" ref="H231:M231" si="188">H230*1000/30</f>
        <v>5075.186130952382</v>
      </c>
      <c r="I231" s="46">
        <f t="shared" si="188"/>
        <v>9754.0703082142845</v>
      </c>
      <c r="J231" s="46">
        <f t="shared" si="188"/>
        <v>15751.253057792495</v>
      </c>
      <c r="K231" s="46">
        <f t="shared" si="188"/>
        <v>27957.131994971864</v>
      </c>
      <c r="L231" s="46">
        <f t="shared" si="188"/>
        <v>17700.278987457146</v>
      </c>
      <c r="M231" s="46">
        <f t="shared" si="188"/>
        <v>8749.0549024553275</v>
      </c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3.5" customHeight="1" x14ac:dyDescent="0.3">
      <c r="A232" s="43"/>
      <c r="B232" s="43"/>
      <c r="C232" s="43"/>
      <c r="D232" s="43"/>
      <c r="E232" s="44"/>
      <c r="F232" s="45"/>
      <c r="G232" s="45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3.5" customHeight="1" x14ac:dyDescent="0.3">
      <c r="A233" s="64" t="s">
        <v>172</v>
      </c>
      <c r="B233" s="65"/>
      <c r="C233" s="65"/>
      <c r="D233" s="65"/>
      <c r="E233" s="66"/>
      <c r="F233" s="67"/>
      <c r="G233" s="67"/>
      <c r="H233" s="66"/>
      <c r="I233" s="66"/>
      <c r="J233" s="66"/>
      <c r="K233" s="66"/>
      <c r="L233" s="66"/>
      <c r="M233" s="66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3.5" customHeight="1" x14ac:dyDescent="0.3">
      <c r="A234" s="35"/>
      <c r="B234" s="35"/>
      <c r="C234" s="35"/>
      <c r="D234" s="35"/>
      <c r="E234" s="36"/>
      <c r="F234" s="36" t="s">
        <v>163</v>
      </c>
      <c r="G234" s="36"/>
      <c r="H234" s="37" t="s">
        <v>81</v>
      </c>
      <c r="I234" s="37" t="s">
        <v>82</v>
      </c>
      <c r="J234" s="37" t="s">
        <v>83</v>
      </c>
      <c r="K234" s="37" t="s">
        <v>84</v>
      </c>
      <c r="L234" s="37" t="s">
        <v>85</v>
      </c>
      <c r="M234" s="37" t="s">
        <v>86</v>
      </c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3.5" customHeight="1" x14ac:dyDescent="0.3">
      <c r="A235" s="40" t="s">
        <v>173</v>
      </c>
      <c r="B235" s="68"/>
      <c r="C235" s="68"/>
      <c r="D235" s="40" t="s">
        <v>89</v>
      </c>
      <c r="E235" s="39" t="s">
        <v>115</v>
      </c>
      <c r="F235" s="39" t="s">
        <v>142</v>
      </c>
      <c r="G235" s="39"/>
      <c r="H235" s="57">
        <f t="shared" ref="H235:M235" si="189">H$58</f>
        <v>2022</v>
      </c>
      <c r="I235" s="57">
        <f t="shared" si="189"/>
        <v>2023</v>
      </c>
      <c r="J235" s="57">
        <f t="shared" si="189"/>
        <v>2024</v>
      </c>
      <c r="K235" s="57">
        <f t="shared" si="189"/>
        <v>2025</v>
      </c>
      <c r="L235" s="57">
        <f t="shared" si="189"/>
        <v>2026</v>
      </c>
      <c r="M235" s="57">
        <f t="shared" si="189"/>
        <v>2027</v>
      </c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3.5" customHeight="1" x14ac:dyDescent="0.3">
      <c r="A236" s="43"/>
      <c r="B236" s="43"/>
      <c r="C236" s="43"/>
      <c r="D236" s="43"/>
      <c r="E236" s="44"/>
      <c r="F236" s="45"/>
      <c r="G236" s="45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3.5" customHeight="1" x14ac:dyDescent="0.3">
      <c r="A237" s="63" t="s">
        <v>174</v>
      </c>
      <c r="B237" s="43"/>
      <c r="C237" s="43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3.5" customHeight="1" x14ac:dyDescent="0.3">
      <c r="A238" s="43" t="str">
        <f t="shared" ref="A238:A243" si="190">A173</f>
        <v xml:space="preserve">Spirulina Bulk </v>
      </c>
      <c r="B238" s="43"/>
      <c r="C238" s="43"/>
      <c r="D238" s="43" t="s">
        <v>161</v>
      </c>
      <c r="E238" s="62"/>
      <c r="F238" s="45">
        <f t="shared" ref="F238:F248" si="191">SUM(H238:L238)</f>
        <v>196555.18187190988</v>
      </c>
      <c r="G238" s="45"/>
      <c r="H238" s="46">
        <f t="shared" ref="H238:M238" si="192">(H199)*$J134/1000</f>
        <v>4016.2500000000005</v>
      </c>
      <c r="I238" s="46">
        <f t="shared" si="192"/>
        <v>12856.016249999999</v>
      </c>
      <c r="J238" s="46">
        <f t="shared" si="192"/>
        <v>27434.738677500001</v>
      </c>
      <c r="K238" s="46">
        <f t="shared" si="192"/>
        <v>58545.732337784997</v>
      </c>
      <c r="L238" s="46">
        <f t="shared" si="192"/>
        <v>93702.444606624893</v>
      </c>
      <c r="M238" s="46">
        <f t="shared" si="192"/>
        <v>111089.45377252086</v>
      </c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3.5" customHeight="1" x14ac:dyDescent="0.3">
      <c r="A239" s="43" t="str">
        <f t="shared" si="190"/>
        <v>Protein from Spirulina Bulk</v>
      </c>
      <c r="B239" s="43"/>
      <c r="C239" s="43"/>
      <c r="D239" s="43" t="s">
        <v>161</v>
      </c>
      <c r="E239" s="62"/>
      <c r="F239" s="45">
        <f t="shared" si="191"/>
        <v>328291.62429642305</v>
      </c>
      <c r="G239" s="45"/>
      <c r="H239" s="46">
        <f t="shared" ref="H239:M239" si="193">(H200)*$J135/1000</f>
        <v>7058.4500000000007</v>
      </c>
      <c r="I239" s="46">
        <f t="shared" si="193"/>
        <v>22594.09844999999</v>
      </c>
      <c r="J239" s="46">
        <f t="shared" si="193"/>
        <v>48215.806092300001</v>
      </c>
      <c r="K239" s="46">
        <f t="shared" si="193"/>
        <v>85743.77516747349</v>
      </c>
      <c r="L239" s="46">
        <f t="shared" si="193"/>
        <v>164679.49458664961</v>
      </c>
      <c r="M239" s="46">
        <f t="shared" si="193"/>
        <v>195236.68969328352</v>
      </c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3.5" customHeight="1" x14ac:dyDescent="0.3">
      <c r="A240" s="43" t="str">
        <f t="shared" si="190"/>
        <v>Spirulina 50 g (tablets or spaghettini)</v>
      </c>
      <c r="B240" s="43"/>
      <c r="C240" s="43"/>
      <c r="D240" s="43" t="s">
        <v>161</v>
      </c>
      <c r="E240" s="62"/>
      <c r="F240" s="45">
        <f t="shared" si="191"/>
        <v>387.12286345570487</v>
      </c>
      <c r="G240" s="45"/>
      <c r="H240" s="46">
        <f t="shared" ref="H240:M240" si="194">(H201)*$J136/1000</f>
        <v>7.91015625</v>
      </c>
      <c r="I240" s="46">
        <f t="shared" si="194"/>
        <v>25.320410156249999</v>
      </c>
      <c r="J240" s="46">
        <f t="shared" si="194"/>
        <v>54.033755273437485</v>
      </c>
      <c r="K240" s="46">
        <f t="shared" si="194"/>
        <v>115.30803375351562</v>
      </c>
      <c r="L240" s="46">
        <f t="shared" si="194"/>
        <v>184.55050802250179</v>
      </c>
      <c r="M240" s="46">
        <f t="shared" si="194"/>
        <v>218.79488006667705</v>
      </c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3.5" customHeight="1" x14ac:dyDescent="0.3">
      <c r="A241" s="43" t="str">
        <f t="shared" si="190"/>
        <v>Alternative meat product</v>
      </c>
      <c r="B241" s="43"/>
      <c r="C241" s="43"/>
      <c r="D241" s="43" t="s">
        <v>161</v>
      </c>
      <c r="E241" s="62"/>
      <c r="F241" s="45">
        <f t="shared" si="191"/>
        <v>5161.3583407817059</v>
      </c>
      <c r="G241" s="45"/>
      <c r="H241" s="46">
        <f t="shared" ref="H241:M241" si="195">(H202)*$J137/1000</f>
        <v>100.15775000000005</v>
      </c>
      <c r="I241" s="46">
        <f t="shared" si="195"/>
        <v>320.60495775000004</v>
      </c>
      <c r="J241" s="46">
        <f t="shared" si="195"/>
        <v>684.17097983849999</v>
      </c>
      <c r="K241" s="46">
        <f t="shared" si="195"/>
        <v>1460.0208709753592</v>
      </c>
      <c r="L241" s="46">
        <f t="shared" si="195"/>
        <v>2596.403782217847</v>
      </c>
      <c r="M241" s="46">
        <f t="shared" si="195"/>
        <v>2770.3628356264435</v>
      </c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3.5" customHeight="1" x14ac:dyDescent="0.3">
      <c r="A242" s="43" t="str">
        <f t="shared" si="190"/>
        <v>Barrette per Terzi</v>
      </c>
      <c r="B242" s="43"/>
      <c r="C242" s="43"/>
      <c r="D242" s="43" t="s">
        <v>161</v>
      </c>
      <c r="E242" s="62"/>
      <c r="F242" s="45">
        <f t="shared" si="191"/>
        <v>2561.2727964309943</v>
      </c>
      <c r="G242" s="45"/>
      <c r="H242" s="46">
        <f t="shared" ref="H242:M242" si="196">(H203)*$J138/1000</f>
        <v>58.285714285714285</v>
      </c>
      <c r="I242" s="46">
        <f t="shared" si="196"/>
        <v>122.8662857142857</v>
      </c>
      <c r="J242" s="46">
        <f t="shared" si="196"/>
        <v>259.00213028571432</v>
      </c>
      <c r="K242" s="46">
        <f t="shared" si="196"/>
        <v>682.47061330285715</v>
      </c>
      <c r="L242" s="46">
        <f t="shared" si="196"/>
        <v>1438.6480528424227</v>
      </c>
      <c r="M242" s="46">
        <f t="shared" si="196"/>
        <v>1516.3350476959138</v>
      </c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3.5" customHeight="1" x14ac:dyDescent="0.3">
      <c r="A243" s="43" t="str">
        <f t="shared" si="190"/>
        <v>Phycocyanin</v>
      </c>
      <c r="B243" s="43"/>
      <c r="C243" s="43"/>
      <c r="D243" s="43" t="s">
        <v>161</v>
      </c>
      <c r="E243" s="62"/>
      <c r="F243" s="45">
        <f t="shared" si="191"/>
        <v>28676.238452400008</v>
      </c>
      <c r="G243" s="45"/>
      <c r="H243" s="46">
        <f t="shared" ref="H243:M243" si="197">(H204)*$J139/1000</f>
        <v>462</v>
      </c>
      <c r="I243" s="46">
        <f t="shared" si="197"/>
        <v>2051.2800000000007</v>
      </c>
      <c r="J243" s="46">
        <f t="shared" si="197"/>
        <v>4553.8416000000007</v>
      </c>
      <c r="K243" s="46">
        <f t="shared" si="197"/>
        <v>7582.1462640000018</v>
      </c>
      <c r="L243" s="46">
        <f t="shared" si="197"/>
        <v>14026.970588400003</v>
      </c>
      <c r="M243" s="46">
        <f t="shared" si="197"/>
        <v>15569.937353124002</v>
      </c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3.5" customHeight="1" x14ac:dyDescent="0.3">
      <c r="A244" s="43" t="str">
        <f t="shared" ref="A244:A246" si="198">A205</f>
        <v>Barrette a marchio</v>
      </c>
      <c r="B244" s="43"/>
      <c r="C244" s="43"/>
      <c r="D244" s="43" t="s">
        <v>161</v>
      </c>
      <c r="E244" s="62"/>
      <c r="F244" s="45">
        <f t="shared" si="191"/>
        <v>11.203308537800513</v>
      </c>
      <c r="G244" s="45"/>
      <c r="H244" s="46">
        <f t="shared" ref="H244:M244" si="199">(H205)*$J140/1000</f>
        <v>0.25494857142857141</v>
      </c>
      <c r="I244" s="46">
        <f t="shared" si="199"/>
        <v>0.53743158857142859</v>
      </c>
      <c r="J244" s="46">
        <f t="shared" si="199"/>
        <v>1.1329057887085714</v>
      </c>
      <c r="K244" s="46">
        <f t="shared" si="199"/>
        <v>2.9852067532470854</v>
      </c>
      <c r="L244" s="46">
        <f t="shared" si="199"/>
        <v>6.2928158358448565</v>
      </c>
      <c r="M244" s="46">
        <f t="shared" si="199"/>
        <v>6.6326278909804799</v>
      </c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3.5" customHeight="1" x14ac:dyDescent="0.3">
      <c r="A245" s="43" t="str">
        <f t="shared" si="198"/>
        <v>Drink Funzionali</v>
      </c>
      <c r="B245" s="43"/>
      <c r="C245" s="43"/>
      <c r="D245" s="43" t="s">
        <v>161</v>
      </c>
      <c r="E245" s="62"/>
      <c r="F245" s="45">
        <f t="shared" si="191"/>
        <v>2023.4633774630547</v>
      </c>
      <c r="G245" s="45"/>
      <c r="H245" s="46">
        <f t="shared" ref="H245:M245" si="200">(H206)*$J141/1000</f>
        <v>73.152709359605922</v>
      </c>
      <c r="I245" s="46">
        <f t="shared" si="200"/>
        <v>230.43103448275869</v>
      </c>
      <c r="J245" s="46">
        <f t="shared" si="200"/>
        <v>322.60344827586215</v>
      </c>
      <c r="K245" s="46">
        <f t="shared" si="200"/>
        <v>508.10043103448288</v>
      </c>
      <c r="L245" s="46">
        <f t="shared" si="200"/>
        <v>889.17575431034504</v>
      </c>
      <c r="M245" s="46">
        <f t="shared" si="200"/>
        <v>933.63454202586229</v>
      </c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3.5" customHeight="1" x14ac:dyDescent="0.3">
      <c r="A246" s="43" t="str">
        <f t="shared" si="198"/>
        <v>Phycogel Antivirale</v>
      </c>
      <c r="B246" s="43"/>
      <c r="C246" s="43"/>
      <c r="D246" s="43" t="s">
        <v>161</v>
      </c>
      <c r="E246" s="62"/>
      <c r="F246" s="45">
        <f t="shared" si="191"/>
        <v>7100.49756919643</v>
      </c>
      <c r="G246" s="45"/>
      <c r="H246" s="46">
        <f t="shared" ref="H246:M246" si="201">(H207)*$J142/1000</f>
        <v>24.553571428571431</v>
      </c>
      <c r="I246" s="46">
        <f t="shared" si="201"/>
        <v>535.26785714285722</v>
      </c>
      <c r="J246" s="46">
        <f t="shared" si="201"/>
        <v>1166.8839285714291</v>
      </c>
      <c r="K246" s="46">
        <f t="shared" si="201"/>
        <v>1907.8552232142861</v>
      </c>
      <c r="L246" s="46">
        <f t="shared" si="201"/>
        <v>3465.9369888392866</v>
      </c>
      <c r="M246" s="46">
        <f t="shared" si="201"/>
        <v>3777.8713178348221</v>
      </c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3.5" customHeight="1" x14ac:dyDescent="0.3">
      <c r="A247" s="43" t="s">
        <v>175</v>
      </c>
      <c r="B247" s="43"/>
      <c r="C247" s="43"/>
      <c r="D247" s="43" t="s">
        <v>161</v>
      </c>
      <c r="E247" s="62"/>
      <c r="F247" s="45">
        <f t="shared" si="191"/>
        <v>70076.618582119525</v>
      </c>
      <c r="G247" s="46"/>
      <c r="H247" s="46">
        <f t="shared" ref="H247:M247" si="202">H213*$J$134/$E$86+H214*$J$135/$E$87+H215*$J$136/$E$88+H216*$J$137/$E$89+H217*$J$138/$E$90+H218*$J$139/$E$91+H219*$J$140/$E$92+H220*$J$141/$E$93+H221*$J$142/$E$94</f>
        <v>2462.3146511949108</v>
      </c>
      <c r="I247" s="46">
        <f t="shared" si="202"/>
        <v>5971.4926983496352</v>
      </c>
      <c r="J247" s="46">
        <f t="shared" si="202"/>
        <v>11546.547819186959</v>
      </c>
      <c r="K247" s="46">
        <f t="shared" si="202"/>
        <v>20950.95314397223</v>
      </c>
      <c r="L247" s="46">
        <f t="shared" si="202"/>
        <v>29145.310269415779</v>
      </c>
      <c r="M247" s="46">
        <f t="shared" si="202"/>
        <v>31391.428172663873</v>
      </c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3.5" customHeight="1" x14ac:dyDescent="0.3">
      <c r="A248" s="43" t="s">
        <v>176</v>
      </c>
      <c r="B248" s="43"/>
      <c r="C248" s="43"/>
      <c r="D248" s="43" t="s">
        <v>161</v>
      </c>
      <c r="E248" s="62"/>
      <c r="F248" s="45">
        <f t="shared" si="191"/>
        <v>23500</v>
      </c>
      <c r="G248" s="45"/>
      <c r="H248" s="88">
        <v>13500</v>
      </c>
      <c r="I248" s="88">
        <v>7000</v>
      </c>
      <c r="J248" s="88">
        <v>3000</v>
      </c>
      <c r="K248" s="44"/>
      <c r="L248" s="44"/>
      <c r="M248" s="44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3.5" customHeight="1" x14ac:dyDescent="0.3">
      <c r="A249" s="43" t="s">
        <v>177</v>
      </c>
      <c r="B249" s="43"/>
      <c r="C249" s="43"/>
      <c r="D249" s="43" t="s">
        <v>161</v>
      </c>
      <c r="E249" s="62"/>
      <c r="F249" s="45"/>
      <c r="G249" s="45"/>
      <c r="H249" s="88">
        <v>-5000</v>
      </c>
      <c r="I249" s="88"/>
      <c r="J249" s="88"/>
      <c r="K249" s="44"/>
      <c r="L249" s="44"/>
      <c r="M249" s="44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3.5" customHeight="1" x14ac:dyDescent="0.3">
      <c r="A250" s="47" t="s">
        <v>178</v>
      </c>
      <c r="B250" s="47"/>
      <c r="C250" s="47"/>
      <c r="D250" s="47" t="s">
        <v>161</v>
      </c>
      <c r="E250" s="58"/>
      <c r="F250" s="51">
        <f>SUM(H250:L250)</f>
        <v>630668.3430063182</v>
      </c>
      <c r="G250" s="51"/>
      <c r="H250" s="51">
        <f t="shared" ref="H250:M250" si="203">SUM(H238:H249)-H243</f>
        <v>22301.329501090229</v>
      </c>
      <c r="I250" s="51">
        <f t="shared" si="203"/>
        <v>49656.635375184349</v>
      </c>
      <c r="J250" s="51">
        <f t="shared" si="203"/>
        <v>92684.919737020624</v>
      </c>
      <c r="K250" s="51">
        <f t="shared" si="203"/>
        <v>169917.20102826448</v>
      </c>
      <c r="L250" s="51">
        <f t="shared" si="203"/>
        <v>296108.25736475858</v>
      </c>
      <c r="M250" s="51">
        <f t="shared" si="203"/>
        <v>346941.20288960892</v>
      </c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3.5" customHeight="1" x14ac:dyDescent="0.3">
      <c r="A251" s="63" t="s">
        <v>179</v>
      </c>
      <c r="B251" s="43"/>
      <c r="C251" s="43"/>
      <c r="D251" s="43"/>
      <c r="E251" s="44"/>
      <c r="F251" s="45"/>
      <c r="G251" s="45"/>
      <c r="H251" s="51">
        <f t="shared" ref="H251:M251" si="204">IF(H285&gt;H250,H285,H250)</f>
        <v>22301.329501090229</v>
      </c>
      <c r="I251" s="51">
        <f t="shared" si="204"/>
        <v>49656.635375184349</v>
      </c>
      <c r="J251" s="51">
        <f t="shared" si="204"/>
        <v>92684.919737020624</v>
      </c>
      <c r="K251" s="51">
        <f t="shared" si="204"/>
        <v>169917.20102826448</v>
      </c>
      <c r="L251" s="51">
        <f t="shared" si="204"/>
        <v>296108.25736475858</v>
      </c>
      <c r="M251" s="51">
        <f t="shared" si="204"/>
        <v>346941.20288960892</v>
      </c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3.5" customHeight="1" x14ac:dyDescent="0.3">
      <c r="A252" s="63" t="s">
        <v>180</v>
      </c>
      <c r="B252" s="43"/>
      <c r="C252" s="43"/>
      <c r="D252" s="43"/>
      <c r="E252" s="44"/>
      <c r="F252" s="45"/>
      <c r="G252" s="45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3.5" customHeight="1" x14ac:dyDescent="0.3">
      <c r="A253" s="63" t="s">
        <v>181</v>
      </c>
      <c r="B253" s="43"/>
      <c r="C253" s="43"/>
      <c r="D253" s="43"/>
      <c r="E253" s="44"/>
      <c r="F253" s="87"/>
      <c r="G253" s="87"/>
      <c r="H253" s="46">
        <f t="shared" ref="H253:M253" si="205">SUM(H238:H246)-H243</f>
        <v>11339.014849895319</v>
      </c>
      <c r="I253" s="46">
        <f t="shared" si="205"/>
        <v>36685.142676834716</v>
      </c>
      <c r="J253" s="46">
        <f t="shared" si="205"/>
        <v>78138.371917833661</v>
      </c>
      <c r="K253" s="46">
        <f t="shared" si="205"/>
        <v>148966.24788429224</v>
      </c>
      <c r="L253" s="46">
        <f t="shared" si="205"/>
        <v>266962.9470953428</v>
      </c>
      <c r="M253" s="46">
        <f t="shared" si="205"/>
        <v>315549.77471694507</v>
      </c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3.5" customHeight="1" x14ac:dyDescent="0.3">
      <c r="A254" s="63"/>
      <c r="B254" s="43"/>
      <c r="C254" s="43"/>
      <c r="D254" s="43"/>
      <c r="E254" s="44"/>
      <c r="F254" s="87"/>
      <c r="G254" s="87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3.5" customHeight="1" x14ac:dyDescent="0.3">
      <c r="A255" s="63" t="s">
        <v>182</v>
      </c>
      <c r="B255" s="43"/>
      <c r="C255" s="43"/>
      <c r="D255" s="43"/>
      <c r="E255" s="44"/>
      <c r="F255" s="45"/>
      <c r="G255" s="45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3.5" customHeight="1" x14ac:dyDescent="0.3">
      <c r="A256" s="43" t="str">
        <f t="shared" ref="A256:A264" si="206">A238</f>
        <v xml:space="preserve">Spirulina Bulk </v>
      </c>
      <c r="B256" s="43"/>
      <c r="C256" s="43"/>
      <c r="D256" s="43"/>
      <c r="E256" s="44"/>
      <c r="F256" s="45"/>
      <c r="G256" s="45"/>
      <c r="H256" s="78">
        <f t="shared" ref="H256:M256" si="207">H41*1000*$I134/H$253</f>
        <v>17.709871859093113</v>
      </c>
      <c r="I256" s="78">
        <f t="shared" si="207"/>
        <v>17.522102017226292</v>
      </c>
      <c r="J256" s="78">
        <f t="shared" si="207"/>
        <v>17.555227991152012</v>
      </c>
      <c r="K256" s="78">
        <f t="shared" si="207"/>
        <v>19.650670258963522</v>
      </c>
      <c r="L256" s="78">
        <f t="shared" si="207"/>
        <v>17.549709730534275</v>
      </c>
      <c r="M256" s="78">
        <f t="shared" si="207"/>
        <v>17.602524652754145</v>
      </c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3.5" customHeight="1" x14ac:dyDescent="0.3">
      <c r="A257" s="43" t="str">
        <f t="shared" si="206"/>
        <v>Protein from Spirulina Bulk</v>
      </c>
      <c r="B257" s="43"/>
      <c r="C257" s="43"/>
      <c r="D257" s="43"/>
      <c r="E257" s="44"/>
      <c r="F257" s="45"/>
      <c r="G257" s="45"/>
      <c r="H257" s="78">
        <f t="shared" ref="H257:M257" si="208">H42*1000*$I135/H$253</f>
        <v>12.449846998948352</v>
      </c>
      <c r="I257" s="78">
        <f t="shared" si="208"/>
        <v>12.317846845539091</v>
      </c>
      <c r="J257" s="78">
        <f t="shared" si="208"/>
        <v>12.341134044359483</v>
      </c>
      <c r="K257" s="78">
        <f t="shared" si="208"/>
        <v>11.511839277052069</v>
      </c>
      <c r="L257" s="78">
        <f t="shared" si="208"/>
        <v>12.337254767256988</v>
      </c>
      <c r="M257" s="78">
        <f t="shared" si="208"/>
        <v>12.374383082251605</v>
      </c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3.5" customHeight="1" x14ac:dyDescent="0.3">
      <c r="A258" s="43" t="str">
        <f t="shared" si="206"/>
        <v>Spirulina 50 g (tablets or spaghettini)</v>
      </c>
      <c r="B258" s="43"/>
      <c r="C258" s="43"/>
      <c r="D258" s="43"/>
      <c r="E258" s="44"/>
      <c r="F258" s="45"/>
      <c r="G258" s="45"/>
      <c r="H258" s="78">
        <f t="shared" ref="H258:M258" si="209">H43*1000*$I136/H$253</f>
        <v>3.125271504545843</v>
      </c>
      <c r="I258" s="78">
        <f t="shared" si="209"/>
        <v>3.0921356500987573</v>
      </c>
      <c r="J258" s="78">
        <f t="shared" si="209"/>
        <v>3.0979814102032961</v>
      </c>
      <c r="K258" s="78">
        <f t="shared" si="209"/>
        <v>3.4677653398170927</v>
      </c>
      <c r="L258" s="78">
        <f t="shared" si="209"/>
        <v>3.0970075995060489</v>
      </c>
      <c r="M258" s="78">
        <f t="shared" si="209"/>
        <v>3.10632787989779</v>
      </c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3.5" customHeight="1" x14ac:dyDescent="0.3">
      <c r="A259" s="43" t="str">
        <f t="shared" si="206"/>
        <v>Alternative meat product</v>
      </c>
      <c r="B259" s="43"/>
      <c r="C259" s="43"/>
      <c r="D259" s="43"/>
      <c r="E259" s="44"/>
      <c r="F259" s="45"/>
      <c r="G259" s="45"/>
      <c r="H259" s="78">
        <f t="shared" ref="H259:M259" si="210">H44*1000*$I137/H$253</f>
        <v>0.46454652981150568</v>
      </c>
      <c r="I259" s="78">
        <f t="shared" si="210"/>
        <v>0.45962115095295114</v>
      </c>
      <c r="J259" s="78">
        <f t="shared" si="210"/>
        <v>0.46049007628207023</v>
      </c>
      <c r="K259" s="78">
        <f t="shared" si="210"/>
        <v>0.51545549001725677</v>
      </c>
      <c r="L259" s="78">
        <f t="shared" si="210"/>
        <v>0.51149480792939406</v>
      </c>
      <c r="M259" s="78">
        <f t="shared" si="210"/>
        <v>0.46173071202431365</v>
      </c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3.5" customHeight="1" x14ac:dyDescent="0.3">
      <c r="A260" s="43" t="str">
        <f t="shared" si="206"/>
        <v>Barrette per Terzi</v>
      </c>
      <c r="B260" s="43"/>
      <c r="C260" s="43"/>
      <c r="D260" s="43"/>
      <c r="E260" s="44"/>
      <c r="F260" s="45"/>
      <c r="G260" s="45"/>
      <c r="H260" s="78">
        <f t="shared" ref="H260:M260" si="211">H45*1000*$I138/H$253</f>
        <v>0.14392784748977258</v>
      </c>
      <c r="I260" s="78">
        <f t="shared" si="211"/>
        <v>9.3777909774149307E-2</v>
      </c>
      <c r="J260" s="78">
        <f t="shared" si="211"/>
        <v>9.2810478002099905E-2</v>
      </c>
      <c r="K260" s="78">
        <f t="shared" si="211"/>
        <v>0.12827856943354596</v>
      </c>
      <c r="L260" s="78">
        <f t="shared" si="211"/>
        <v>0.15089039852860753</v>
      </c>
      <c r="M260" s="78">
        <f t="shared" si="211"/>
        <v>0.13455050434934004</v>
      </c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3.5" customHeight="1" x14ac:dyDescent="0.3">
      <c r="A261" s="43" t="str">
        <f t="shared" si="206"/>
        <v>Phycocyanin</v>
      </c>
      <c r="B261" s="43"/>
      <c r="C261" s="43"/>
      <c r="D261" s="43"/>
      <c r="E261" s="44"/>
      <c r="F261" s="45"/>
      <c r="G261" s="45"/>
      <c r="H261" s="78">
        <f t="shared" ref="H261:M261" si="212">H46*1000*$I139/H$253</f>
        <v>18.520127434345738</v>
      </c>
      <c r="I261" s="78">
        <f t="shared" si="212"/>
        <v>25.416283867658926</v>
      </c>
      <c r="J261" s="78">
        <f t="shared" si="212"/>
        <v>26.490544263919794</v>
      </c>
      <c r="K261" s="78">
        <f t="shared" si="212"/>
        <v>23.13564427478212</v>
      </c>
      <c r="L261" s="78">
        <f t="shared" si="212"/>
        <v>23.883073630150335</v>
      </c>
      <c r="M261" s="78">
        <f t="shared" si="212"/>
        <v>22.42829758876691</v>
      </c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3.5" customHeight="1" x14ac:dyDescent="0.3">
      <c r="A262" s="43" t="str">
        <f t="shared" si="206"/>
        <v>Barrette a marchio</v>
      </c>
      <c r="B262" s="43"/>
      <c r="C262" s="43"/>
      <c r="D262" s="43"/>
      <c r="E262" s="44"/>
      <c r="F262" s="45"/>
      <c r="G262" s="45"/>
      <c r="H262" s="78">
        <f t="shared" ref="H262:M262" si="213">H47*1000*$I140/H$253</f>
        <v>2.5399031909959863E-2</v>
      </c>
      <c r="I262" s="78">
        <f t="shared" si="213"/>
        <v>1.654904290132047E-2</v>
      </c>
      <c r="J262" s="78">
        <f t="shared" si="213"/>
        <v>1.6378319647429394E-2</v>
      </c>
      <c r="K262" s="78">
        <f t="shared" si="213"/>
        <v>2.2637394605919871E-2</v>
      </c>
      <c r="L262" s="78">
        <f t="shared" si="213"/>
        <v>2.6627717387401328E-2</v>
      </c>
      <c r="M262" s="78">
        <f t="shared" si="213"/>
        <v>2.3744206649883536E-2</v>
      </c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3.5" customHeight="1" x14ac:dyDescent="0.3">
      <c r="A263" s="43" t="str">
        <f t="shared" si="206"/>
        <v>Drink Funzionali</v>
      </c>
      <c r="B263" s="43"/>
      <c r="C263" s="43"/>
      <c r="D263" s="43"/>
      <c r="E263" s="44"/>
      <c r="F263" s="45"/>
      <c r="G263" s="45"/>
      <c r="H263" s="78">
        <f t="shared" ref="H263:M263" si="214">H48*1000*$I141/H$253</f>
        <v>1.1225464995919763</v>
      </c>
      <c r="I263" s="78">
        <f t="shared" si="214"/>
        <v>1.0929492724944063</v>
      </c>
      <c r="J263" s="78">
        <f t="shared" si="214"/>
        <v>0.71837944178087831</v>
      </c>
      <c r="K263" s="78">
        <f t="shared" si="214"/>
        <v>0.59348662032939836</v>
      </c>
      <c r="L263" s="78">
        <f t="shared" si="214"/>
        <v>0.57954327719773313</v>
      </c>
      <c r="M263" s="78">
        <f t="shared" si="214"/>
        <v>0.51482340768020929</v>
      </c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3.5" customHeight="1" x14ac:dyDescent="0.3">
      <c r="A264" s="43" t="str">
        <f t="shared" si="206"/>
        <v>Phycogel Antivirale</v>
      </c>
      <c r="B264" s="43"/>
      <c r="C264" s="43"/>
      <c r="D264" s="43"/>
      <c r="E264" s="44"/>
      <c r="F264" s="45"/>
      <c r="G264" s="45"/>
      <c r="H264" s="78">
        <f t="shared" ref="H264:M264" si="215">H49*1000*$I142/H$253</f>
        <v>2.2047770755173497</v>
      </c>
      <c r="I264" s="78">
        <f t="shared" si="215"/>
        <v>14.856150480345466</v>
      </c>
      <c r="J264" s="78">
        <f t="shared" si="215"/>
        <v>15.20507749060021</v>
      </c>
      <c r="K264" s="78">
        <f t="shared" si="215"/>
        <v>13.040158610350765</v>
      </c>
      <c r="L264" s="78">
        <f t="shared" si="215"/>
        <v>13.218890723961307</v>
      </c>
      <c r="M264" s="78">
        <f t="shared" si="215"/>
        <v>12.190025775491195</v>
      </c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3.5" customHeight="1" x14ac:dyDescent="0.3">
      <c r="A265" s="63"/>
      <c r="B265" s="43"/>
      <c r="C265" s="43"/>
      <c r="D265" s="43"/>
      <c r="E265" s="44"/>
      <c r="F265" s="87" t="s">
        <v>183</v>
      </c>
      <c r="G265" s="87"/>
      <c r="H265" s="45">
        <f t="shared" ref="H265:M265" si="216">SUM(H256:H264)</f>
        <v>55.766314781253612</v>
      </c>
      <c r="I265" s="45">
        <f t="shared" si="216"/>
        <v>74.867416236991346</v>
      </c>
      <c r="J265" s="45">
        <f t="shared" si="216"/>
        <v>75.978023515947271</v>
      </c>
      <c r="K265" s="45">
        <f t="shared" si="216"/>
        <v>72.065935835351695</v>
      </c>
      <c r="L265" s="45">
        <f t="shared" si="216"/>
        <v>71.354492652452095</v>
      </c>
      <c r="M265" s="45">
        <f t="shared" si="216"/>
        <v>68.836407809865392</v>
      </c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3.5" customHeight="1" x14ac:dyDescent="0.3">
      <c r="A266" s="63"/>
      <c r="B266" s="43"/>
      <c r="C266" s="43"/>
      <c r="D266" s="43"/>
      <c r="E266" s="44"/>
      <c r="F266" s="45"/>
      <c r="G266" s="45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3.5" customHeight="1" x14ac:dyDescent="0.3">
      <c r="A267" s="43"/>
      <c r="B267" s="43"/>
      <c r="C267" s="43"/>
      <c r="D267" s="43"/>
      <c r="E267" s="44"/>
      <c r="F267" s="45"/>
      <c r="G267" s="45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3.5" customHeight="1" x14ac:dyDescent="0.3">
      <c r="A268" s="47" t="s">
        <v>184</v>
      </c>
      <c r="B268" s="89"/>
      <c r="C268" s="51" t="s">
        <v>185</v>
      </c>
      <c r="D268" s="51" t="s">
        <v>186</v>
      </c>
      <c r="E268" s="51" t="s">
        <v>187</v>
      </c>
      <c r="F268" s="51" t="s">
        <v>188</v>
      </c>
      <c r="G268" s="51"/>
      <c r="H268" s="51" t="s">
        <v>189</v>
      </c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3.5" customHeight="1" x14ac:dyDescent="0.3">
      <c r="A269" s="43" t="s">
        <v>190</v>
      </c>
      <c r="B269" s="43"/>
      <c r="C269" s="44">
        <v>1000</v>
      </c>
      <c r="D269" s="44">
        <v>2000</v>
      </c>
      <c r="E269" s="44">
        <v>150</v>
      </c>
      <c r="F269" s="46">
        <f>E269</f>
        <v>150</v>
      </c>
      <c r="G269" s="46"/>
      <c r="H269" s="91">
        <f t="shared" ref="H269:H275" si="217">F269/D269</f>
        <v>7.4999999999999997E-2</v>
      </c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3.5" customHeight="1" x14ac:dyDescent="0.3">
      <c r="A270" s="43" t="s">
        <v>191</v>
      </c>
      <c r="B270" s="43"/>
      <c r="C270" s="44">
        <v>4000</v>
      </c>
      <c r="D270" s="44">
        <v>10000</v>
      </c>
      <c r="E270" s="46">
        <f>((D270-D269)/D269)*E269*70%</f>
        <v>420</v>
      </c>
      <c r="F270" s="46">
        <f>E270+F269</f>
        <v>570</v>
      </c>
      <c r="G270" s="46"/>
      <c r="H270" s="91">
        <f t="shared" si="217"/>
        <v>5.7000000000000002E-2</v>
      </c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3.5" customHeight="1" x14ac:dyDescent="0.3">
      <c r="A271" s="43" t="s">
        <v>192</v>
      </c>
      <c r="B271" s="43"/>
      <c r="C271" s="44">
        <v>13000</v>
      </c>
      <c r="D271" s="46">
        <f t="shared" ref="D271:D275" si="218">250*C271/100</f>
        <v>32500</v>
      </c>
      <c r="E271" s="46">
        <f t="shared" ref="E271:E273" si="219">((D271-D269)/D269)*E269*66%</f>
        <v>1509.75</v>
      </c>
      <c r="F271" s="46">
        <f t="shared" ref="F271:F273" si="220">E271+F269</f>
        <v>1659.75</v>
      </c>
      <c r="G271" s="46"/>
      <c r="H271" s="91">
        <f t="shared" si="217"/>
        <v>5.106923076923077E-2</v>
      </c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3.5" customHeight="1" x14ac:dyDescent="0.3">
      <c r="A272" s="43" t="s">
        <v>193</v>
      </c>
      <c r="B272" s="43"/>
      <c r="C272" s="44">
        <v>20000</v>
      </c>
      <c r="D272" s="46">
        <f t="shared" si="218"/>
        <v>50000</v>
      </c>
      <c r="E272" s="46">
        <f t="shared" si="219"/>
        <v>1108.8</v>
      </c>
      <c r="F272" s="46">
        <f t="shared" si="220"/>
        <v>1678.8</v>
      </c>
      <c r="G272" s="46"/>
      <c r="H272" s="91">
        <f t="shared" si="217"/>
        <v>3.3576000000000002E-2</v>
      </c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3.5" customHeight="1" x14ac:dyDescent="0.3">
      <c r="A273" s="43" t="s">
        <v>194</v>
      </c>
      <c r="B273" s="43"/>
      <c r="C273" s="44">
        <v>40000</v>
      </c>
      <c r="D273" s="46">
        <f t="shared" si="218"/>
        <v>100000</v>
      </c>
      <c r="E273" s="46">
        <f t="shared" si="219"/>
        <v>2069.5188461538464</v>
      </c>
      <c r="F273" s="46">
        <f t="shared" si="220"/>
        <v>3729.2688461538464</v>
      </c>
      <c r="G273" s="46"/>
      <c r="H273" s="91">
        <f t="shared" si="217"/>
        <v>3.7292688461538465E-2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3.5" customHeight="1" x14ac:dyDescent="0.3">
      <c r="A274" s="43"/>
      <c r="B274" s="43"/>
      <c r="C274" s="44">
        <v>60000</v>
      </c>
      <c r="D274" s="46">
        <f t="shared" si="218"/>
        <v>150000</v>
      </c>
      <c r="E274" s="46">
        <f t="shared" ref="E274:E275" si="221">((D274-D271)/D271)*E271*80%</f>
        <v>4366.6615384615388</v>
      </c>
      <c r="F274" s="46">
        <f t="shared" ref="F274:F275" si="222">E274+F271</f>
        <v>6026.4115384615388</v>
      </c>
      <c r="G274" s="46"/>
      <c r="H274" s="91">
        <f t="shared" si="217"/>
        <v>4.0176076923076925E-2</v>
      </c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3.5" customHeight="1" x14ac:dyDescent="0.3">
      <c r="A275" s="43"/>
      <c r="B275" s="43"/>
      <c r="C275" s="44">
        <v>70000</v>
      </c>
      <c r="D275" s="46">
        <f t="shared" si="218"/>
        <v>175000</v>
      </c>
      <c r="E275" s="46">
        <f t="shared" si="221"/>
        <v>2217.6</v>
      </c>
      <c r="F275" s="46">
        <f t="shared" si="222"/>
        <v>3896.3999999999996</v>
      </c>
      <c r="G275" s="46"/>
      <c r="H275" s="91">
        <f t="shared" si="217"/>
        <v>2.2265142857142855E-2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3.5" customHeight="1" x14ac:dyDescent="0.3">
      <c r="A276" s="43"/>
      <c r="B276" s="43"/>
      <c r="C276" s="44"/>
      <c r="D276" s="44"/>
      <c r="E276" s="44"/>
      <c r="F276" s="46"/>
      <c r="G276" s="46"/>
      <c r="H276" s="45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3.5" customHeight="1" x14ac:dyDescent="0.3">
      <c r="A277" s="43"/>
      <c r="B277" s="43"/>
      <c r="C277" s="43"/>
      <c r="D277" s="45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3.5" customHeight="1" x14ac:dyDescent="0.3">
      <c r="A278" s="63" t="s">
        <v>195</v>
      </c>
      <c r="B278" s="43"/>
      <c r="C278" s="43"/>
      <c r="D278" s="63" t="s">
        <v>196</v>
      </c>
      <c r="E278" s="44">
        <v>10000</v>
      </c>
      <c r="F278" s="45"/>
      <c r="G278" s="45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3.5" customHeight="1" x14ac:dyDescent="0.3">
      <c r="A279" s="63" t="str">
        <f>"Produzione annua microalga per imp.vasca da "&amp;E278&amp;" metri quadri"</f>
        <v>Produzione annua microalga per imp.vasca da 10000 metri quadri</v>
      </c>
      <c r="B279" s="63"/>
      <c r="C279" s="63"/>
      <c r="D279" s="63" t="s">
        <v>161</v>
      </c>
      <c r="E279" s="46">
        <f>VLOOKUP(E278,C269:F275,2)</f>
        <v>10000</v>
      </c>
      <c r="F279" s="45"/>
      <c r="G279" s="45"/>
      <c r="H279" s="46">
        <f>E279</f>
        <v>10000</v>
      </c>
      <c r="I279" s="46">
        <f t="shared" ref="I279:M279" si="223">H279</f>
        <v>10000</v>
      </c>
      <c r="J279" s="46">
        <f t="shared" si="223"/>
        <v>10000</v>
      </c>
      <c r="K279" s="46">
        <f t="shared" si="223"/>
        <v>10000</v>
      </c>
      <c r="L279" s="46">
        <f t="shared" si="223"/>
        <v>10000</v>
      </c>
      <c r="M279" s="46">
        <f t="shared" si="223"/>
        <v>10000</v>
      </c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3.5" customHeight="1" x14ac:dyDescent="0.3">
      <c r="A280" s="63" t="str">
        <f>"Costo impianto da "&amp;E278&amp;" metri quadrati"</f>
        <v>Costo impianto da 10000 metri quadrati</v>
      </c>
      <c r="B280" s="63"/>
      <c r="C280" s="63"/>
      <c r="D280" s="63" t="s">
        <v>119</v>
      </c>
      <c r="E280" s="46">
        <f>VLOOKUP(E278,C269:F275,4)</f>
        <v>570</v>
      </c>
      <c r="F280" s="45"/>
      <c r="G280" s="45"/>
      <c r="H280" s="46">
        <f>E280*(1+H281)</f>
        <v>575.70000000000005</v>
      </c>
      <c r="I280" s="46">
        <f t="shared" ref="I280:M280" si="224">H280*(1+I281)</f>
        <v>633.2700000000001</v>
      </c>
      <c r="J280" s="46">
        <f t="shared" si="224"/>
        <v>696.59700000000021</v>
      </c>
      <c r="K280" s="46">
        <f t="shared" si="224"/>
        <v>766.25670000000025</v>
      </c>
      <c r="L280" s="46">
        <f t="shared" si="224"/>
        <v>842.88237000000038</v>
      </c>
      <c r="M280" s="46">
        <f t="shared" si="224"/>
        <v>927.17060700000047</v>
      </c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3.5" customHeight="1" x14ac:dyDescent="0.3">
      <c r="A281" s="63" t="s">
        <v>197</v>
      </c>
      <c r="B281" s="63"/>
      <c r="C281" s="63"/>
      <c r="D281" s="63" t="s">
        <v>108</v>
      </c>
      <c r="E281" s="50">
        <v>0.1</v>
      </c>
      <c r="F281" s="45"/>
      <c r="G281" s="45"/>
      <c r="H281" s="50">
        <v>0.01</v>
      </c>
      <c r="I281" s="80">
        <f>E281</f>
        <v>0.1</v>
      </c>
      <c r="J281" s="80">
        <f t="shared" ref="J281:M281" si="225">I281</f>
        <v>0.1</v>
      </c>
      <c r="K281" s="80">
        <f t="shared" si="225"/>
        <v>0.1</v>
      </c>
      <c r="L281" s="80">
        <f t="shared" si="225"/>
        <v>0.1</v>
      </c>
      <c r="M281" s="80">
        <f t="shared" si="225"/>
        <v>0.1</v>
      </c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3.5" customHeight="1" x14ac:dyDescent="0.3">
      <c r="A282" s="47" t="s">
        <v>198</v>
      </c>
      <c r="B282" s="47"/>
      <c r="C282" s="47"/>
      <c r="D282" s="47" t="s">
        <v>199</v>
      </c>
      <c r="E282" s="91">
        <f>E280/E279</f>
        <v>5.7000000000000002E-2</v>
      </c>
      <c r="F282" s="51"/>
      <c r="G282" s="51"/>
      <c r="H282" s="91">
        <f t="shared" ref="H282:M282" si="226">H280/H279</f>
        <v>5.7570000000000003E-2</v>
      </c>
      <c r="I282" s="91">
        <f t="shared" si="226"/>
        <v>6.3327000000000008E-2</v>
      </c>
      <c r="J282" s="91">
        <f t="shared" si="226"/>
        <v>6.9659700000000019E-2</v>
      </c>
      <c r="K282" s="91">
        <f t="shared" si="226"/>
        <v>7.6625670000000021E-2</v>
      </c>
      <c r="L282" s="91">
        <f t="shared" si="226"/>
        <v>8.4288237000000044E-2</v>
      </c>
      <c r="M282" s="91">
        <f t="shared" si="226"/>
        <v>9.2717060700000048E-2</v>
      </c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3.5" customHeight="1" x14ac:dyDescent="0.3">
      <c r="A283" s="43"/>
      <c r="B283" s="43"/>
      <c r="C283" s="43"/>
      <c r="D283" s="43"/>
      <c r="E283" s="44"/>
      <c r="F283" s="45"/>
      <c r="G283" s="45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3.5" customHeight="1" x14ac:dyDescent="0.3">
      <c r="A284" s="63" t="s">
        <v>200</v>
      </c>
      <c r="B284" s="63"/>
      <c r="C284" s="63"/>
      <c r="D284" s="43"/>
      <c r="E284" s="44"/>
      <c r="F284" s="45"/>
      <c r="G284" s="45"/>
      <c r="H284" s="57">
        <f t="shared" ref="H284:M284" si="227">H$58</f>
        <v>2022</v>
      </c>
      <c r="I284" s="57">
        <f t="shared" si="227"/>
        <v>2023</v>
      </c>
      <c r="J284" s="57">
        <f t="shared" si="227"/>
        <v>2024</v>
      </c>
      <c r="K284" s="57">
        <f t="shared" si="227"/>
        <v>2025</v>
      </c>
      <c r="L284" s="57">
        <f t="shared" si="227"/>
        <v>2026</v>
      </c>
      <c r="M284" s="57">
        <f t="shared" si="227"/>
        <v>2027</v>
      </c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3.5" customHeight="1" x14ac:dyDescent="0.3">
      <c r="A285" s="43" t="s">
        <v>201</v>
      </c>
      <c r="B285" s="43"/>
      <c r="C285" s="43"/>
      <c r="D285" s="43" t="s">
        <v>161</v>
      </c>
      <c r="E285" s="44">
        <v>9000</v>
      </c>
      <c r="F285" s="45">
        <f>SUM(H285:L285)</f>
        <v>45000</v>
      </c>
      <c r="G285" s="45"/>
      <c r="H285" s="44">
        <v>9000</v>
      </c>
      <c r="I285" s="46">
        <f>E285</f>
        <v>9000</v>
      </c>
      <c r="J285" s="46">
        <f t="shared" ref="J285:M285" si="228">I285</f>
        <v>9000</v>
      </c>
      <c r="K285" s="46">
        <f t="shared" si="228"/>
        <v>9000</v>
      </c>
      <c r="L285" s="46">
        <f t="shared" si="228"/>
        <v>9000</v>
      </c>
      <c r="M285" s="46">
        <f t="shared" si="228"/>
        <v>9000</v>
      </c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3.5" customHeight="1" x14ac:dyDescent="0.3">
      <c r="A286" s="43" t="s">
        <v>202</v>
      </c>
      <c r="B286" s="43"/>
      <c r="C286" s="43"/>
      <c r="D286" s="43"/>
      <c r="E286" s="44">
        <v>0</v>
      </c>
      <c r="F286" s="45"/>
      <c r="G286" s="45"/>
      <c r="H286" s="46"/>
      <c r="I286" s="44"/>
      <c r="J286" s="46">
        <f>E286</f>
        <v>0</v>
      </c>
      <c r="K286" s="46">
        <f t="shared" ref="K286:M286" si="229">J286</f>
        <v>0</v>
      </c>
      <c r="L286" s="46">
        <f t="shared" si="229"/>
        <v>0</v>
      </c>
      <c r="M286" s="46">
        <f t="shared" si="229"/>
        <v>0</v>
      </c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3.5" customHeight="1" x14ac:dyDescent="0.3">
      <c r="A287" s="43" t="s">
        <v>203</v>
      </c>
      <c r="B287" s="43"/>
      <c r="C287" s="43"/>
      <c r="D287" s="43" t="s">
        <v>161</v>
      </c>
      <c r="E287" s="44"/>
      <c r="F287" s="45">
        <f t="shared" ref="F287:F288" si="230">SUM(H287:L287)</f>
        <v>0</v>
      </c>
      <c r="G287" s="45"/>
      <c r="H287" s="46"/>
      <c r="I287" s="46">
        <f>E287/4</f>
        <v>0</v>
      </c>
      <c r="J287" s="46">
        <f>E287/2</f>
        <v>0</v>
      </c>
      <c r="K287" s="46">
        <f>E287</f>
        <v>0</v>
      </c>
      <c r="L287" s="46">
        <f>E287*2</f>
        <v>0</v>
      </c>
      <c r="M287" s="46">
        <f>E287*2.5</f>
        <v>0</v>
      </c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3.5" customHeight="1" x14ac:dyDescent="0.3">
      <c r="A288" s="43" t="s">
        <v>204</v>
      </c>
      <c r="B288" s="43"/>
      <c r="C288" s="43"/>
      <c r="D288" s="43" t="s">
        <v>161</v>
      </c>
      <c r="E288" s="44">
        <v>9000</v>
      </c>
      <c r="F288" s="45">
        <f t="shared" si="230"/>
        <v>193500</v>
      </c>
      <c r="G288" s="45"/>
      <c r="H288" s="46">
        <f>$E$288*H335</f>
        <v>2700</v>
      </c>
      <c r="I288" s="46">
        <f t="shared" ref="I288:M288" si="231">$E$288*I335+H288</f>
        <v>11700</v>
      </c>
      <c r="J288" s="46">
        <f t="shared" si="231"/>
        <v>29700</v>
      </c>
      <c r="K288" s="46">
        <f t="shared" si="231"/>
        <v>56700</v>
      </c>
      <c r="L288" s="46">
        <f t="shared" si="231"/>
        <v>92700</v>
      </c>
      <c r="M288" s="46">
        <f t="shared" si="231"/>
        <v>128700</v>
      </c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3.5" customHeight="1" x14ac:dyDescent="0.3">
      <c r="A289" s="47" t="s">
        <v>205</v>
      </c>
      <c r="B289" s="47"/>
      <c r="C289" s="47"/>
      <c r="D289" s="47" t="s">
        <v>161</v>
      </c>
      <c r="E289" s="51">
        <f t="shared" ref="E289:F289" si="232">SUM(E285:E288)</f>
        <v>18000</v>
      </c>
      <c r="F289" s="51">
        <f t="shared" si="232"/>
        <v>238500</v>
      </c>
      <c r="G289" s="51"/>
      <c r="H289" s="51">
        <f t="shared" ref="H289:M289" si="233">SUM(H285:H288)</f>
        <v>11700</v>
      </c>
      <c r="I289" s="51">
        <f t="shared" si="233"/>
        <v>20700</v>
      </c>
      <c r="J289" s="51">
        <f t="shared" si="233"/>
        <v>38700</v>
      </c>
      <c r="K289" s="51">
        <f t="shared" si="233"/>
        <v>65700</v>
      </c>
      <c r="L289" s="51">
        <f t="shared" si="233"/>
        <v>101700</v>
      </c>
      <c r="M289" s="51">
        <f t="shared" si="233"/>
        <v>137700</v>
      </c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3.5" customHeight="1" x14ac:dyDescent="0.3">
      <c r="A290" s="43"/>
      <c r="B290" s="43"/>
      <c r="C290" s="43"/>
      <c r="D290" s="43"/>
      <c r="E290" s="44"/>
      <c r="F290" s="45"/>
      <c r="G290" s="45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3.5" customHeight="1" x14ac:dyDescent="0.3">
      <c r="A291" s="54" t="s">
        <v>206</v>
      </c>
      <c r="B291" s="54"/>
      <c r="C291" s="54"/>
      <c r="D291" s="54" t="s">
        <v>161</v>
      </c>
      <c r="E291" s="55"/>
      <c r="F291" s="56">
        <f t="shared" ref="F291:F292" si="234">SUM(H291:L291)</f>
        <v>392168.34300631826</v>
      </c>
      <c r="G291" s="56"/>
      <c r="H291" s="56">
        <f t="shared" ref="H291:M291" si="235">IF(H250-H289&gt;0,H250-H289,0)</f>
        <v>10601.329501090229</v>
      </c>
      <c r="I291" s="56">
        <f t="shared" si="235"/>
        <v>28956.635375184349</v>
      </c>
      <c r="J291" s="56">
        <f t="shared" si="235"/>
        <v>53984.919737020624</v>
      </c>
      <c r="K291" s="56">
        <f t="shared" si="235"/>
        <v>104217.20102826448</v>
      </c>
      <c r="L291" s="56">
        <f t="shared" si="235"/>
        <v>194408.25736475858</v>
      </c>
      <c r="M291" s="56">
        <f t="shared" si="235"/>
        <v>209241.20288960892</v>
      </c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3.5" customHeight="1" x14ac:dyDescent="0.3">
      <c r="A292" s="54" t="s">
        <v>207</v>
      </c>
      <c r="B292" s="54"/>
      <c r="C292" s="54"/>
      <c r="D292" s="54" t="s">
        <v>161</v>
      </c>
      <c r="E292" s="55"/>
      <c r="F292" s="56">
        <f t="shared" si="234"/>
        <v>194408.25736475858</v>
      </c>
      <c r="G292" s="56"/>
      <c r="H292" s="56">
        <f>IF(H250-H289&gt;0,H250-H289,0)</f>
        <v>10601.329501090229</v>
      </c>
      <c r="I292" s="56">
        <f t="shared" ref="I292:M292" si="236">I291-SUM($H292:H292)</f>
        <v>18355.30587409412</v>
      </c>
      <c r="J292" s="56">
        <f t="shared" si="236"/>
        <v>25028.284361836275</v>
      </c>
      <c r="K292" s="56">
        <f t="shared" si="236"/>
        <v>50232.281291243853</v>
      </c>
      <c r="L292" s="56">
        <f t="shared" si="236"/>
        <v>90191.056336494104</v>
      </c>
      <c r="M292" s="56">
        <f t="shared" si="236"/>
        <v>14832.945524850336</v>
      </c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3.5" customHeight="1" x14ac:dyDescent="0.3">
      <c r="A293" s="47"/>
      <c r="B293" s="47"/>
      <c r="C293" s="47"/>
      <c r="D293" s="47"/>
      <c r="E293" s="58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3.5" customHeight="1" x14ac:dyDescent="0.3">
      <c r="A294" s="54" t="s">
        <v>208</v>
      </c>
      <c r="B294" s="54"/>
      <c r="C294" s="54"/>
      <c r="D294" s="92" t="s">
        <v>209</v>
      </c>
      <c r="E294" s="55"/>
      <c r="F294" s="56">
        <f>SUM(H294:L294)</f>
        <v>194408.25736475858</v>
      </c>
      <c r="G294" s="56"/>
      <c r="H294" s="56">
        <f t="shared" ref="H294:M294" si="237">H292/H279*$E$278</f>
        <v>10601.329501090229</v>
      </c>
      <c r="I294" s="56">
        <f t="shared" si="237"/>
        <v>18355.30587409412</v>
      </c>
      <c r="J294" s="56">
        <f t="shared" si="237"/>
        <v>25028.284361836275</v>
      </c>
      <c r="K294" s="56">
        <f t="shared" si="237"/>
        <v>50232.281291243853</v>
      </c>
      <c r="L294" s="56">
        <f t="shared" si="237"/>
        <v>90191.056336494104</v>
      </c>
      <c r="M294" s="56">
        <f t="shared" si="237"/>
        <v>14832.945524850336</v>
      </c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3.5" customHeight="1" x14ac:dyDescent="0.3">
      <c r="A295" s="43" t="s">
        <v>210</v>
      </c>
      <c r="B295" s="43"/>
      <c r="C295" s="43"/>
      <c r="D295" s="63" t="s">
        <v>211</v>
      </c>
      <c r="E295" s="44"/>
      <c r="F295" s="46"/>
      <c r="G295" s="46"/>
      <c r="H295" s="46">
        <f>H294</f>
        <v>10601.329501090229</v>
      </c>
      <c r="I295" s="46">
        <f t="shared" ref="I295:M295" si="238">H295+I294</f>
        <v>28956.635375184349</v>
      </c>
      <c r="J295" s="46">
        <f t="shared" si="238"/>
        <v>53984.919737020624</v>
      </c>
      <c r="K295" s="46">
        <f t="shared" si="238"/>
        <v>104217.20102826448</v>
      </c>
      <c r="L295" s="46">
        <f t="shared" si="238"/>
        <v>194408.25736475858</v>
      </c>
      <c r="M295" s="46">
        <f t="shared" si="238"/>
        <v>209241.20288960892</v>
      </c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3.5" customHeight="1" x14ac:dyDescent="0.3">
      <c r="A296" s="43"/>
      <c r="B296" s="43"/>
      <c r="C296" s="43"/>
      <c r="D296" s="43"/>
      <c r="E296" s="44"/>
      <c r="F296" s="45"/>
      <c r="G296" s="45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3.5" customHeight="1" x14ac:dyDescent="0.3">
      <c r="A297" s="54" t="s">
        <v>212</v>
      </c>
      <c r="B297" s="54"/>
      <c r="C297" s="54"/>
      <c r="D297" s="54" t="s">
        <v>93</v>
      </c>
      <c r="E297" s="55"/>
      <c r="F297" s="93">
        <f>SUM(H297:L297)</f>
        <v>14967.295115967529</v>
      </c>
      <c r="G297" s="93"/>
      <c r="H297" s="93">
        <f t="shared" ref="H297:M297" si="239">IF(H292&gt;0,+H292*H282,0)</f>
        <v>610.31853937776452</v>
      </c>
      <c r="I297" s="93">
        <f t="shared" si="239"/>
        <v>1162.3864550887586</v>
      </c>
      <c r="J297" s="93">
        <f t="shared" si="239"/>
        <v>1743.4627801602069</v>
      </c>
      <c r="K297" s="93">
        <f t="shared" si="239"/>
        <v>3849.0822095700264</v>
      </c>
      <c r="L297" s="93">
        <f t="shared" si="239"/>
        <v>7602.0451317707711</v>
      </c>
      <c r="M297" s="93">
        <f t="shared" si="239"/>
        <v>1375.2671105873428</v>
      </c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3.5" customHeight="1" x14ac:dyDescent="0.3">
      <c r="A298" s="43"/>
      <c r="B298" s="43"/>
      <c r="C298" s="43"/>
      <c r="D298" s="43"/>
      <c r="E298" s="44"/>
      <c r="F298" s="45"/>
      <c r="G298" s="45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3.5" customHeight="1" x14ac:dyDescent="0.3">
      <c r="A299" s="43"/>
      <c r="B299" s="43"/>
      <c r="C299" s="43"/>
      <c r="D299" s="43"/>
      <c r="E299" s="44"/>
      <c r="F299" s="45"/>
      <c r="G299" s="45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3.5" customHeight="1" x14ac:dyDescent="0.3">
      <c r="A300" s="35"/>
      <c r="B300" s="35"/>
      <c r="C300" s="35"/>
      <c r="D300" s="35"/>
      <c r="E300" s="36"/>
      <c r="F300" s="36" t="s">
        <v>163</v>
      </c>
      <c r="G300" s="36"/>
      <c r="H300" s="37" t="s">
        <v>81</v>
      </c>
      <c r="I300" s="37" t="s">
        <v>82</v>
      </c>
      <c r="J300" s="37" t="s">
        <v>83</v>
      </c>
      <c r="K300" s="37" t="s">
        <v>84</v>
      </c>
      <c r="L300" s="37" t="s">
        <v>85</v>
      </c>
      <c r="M300" s="37" t="s">
        <v>86</v>
      </c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3.5" customHeight="1" x14ac:dyDescent="0.3">
      <c r="A301" s="43"/>
      <c r="B301" s="43"/>
      <c r="C301" s="43"/>
      <c r="D301" s="43"/>
      <c r="E301" s="44"/>
      <c r="F301" s="45"/>
      <c r="G301" s="45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3.5" customHeight="1" x14ac:dyDescent="0.3">
      <c r="A302" s="94"/>
      <c r="B302" s="94"/>
      <c r="C302" s="94"/>
      <c r="D302" s="94"/>
      <c r="E302" s="95"/>
      <c r="F302" s="96"/>
      <c r="G302" s="96"/>
      <c r="H302" s="95"/>
      <c r="I302" s="95"/>
      <c r="J302" s="95"/>
      <c r="K302" s="95"/>
      <c r="L302" s="95"/>
      <c r="M302" s="95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3.5" customHeight="1" x14ac:dyDescent="0.3">
      <c r="A303" s="43"/>
      <c r="B303" s="43"/>
      <c r="C303" s="43"/>
      <c r="D303" s="43"/>
      <c r="E303" s="44"/>
      <c r="F303" s="45"/>
      <c r="G303" s="45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3.5" customHeight="1" x14ac:dyDescent="0.3">
      <c r="A304" s="64" t="s">
        <v>213</v>
      </c>
      <c r="B304" s="65"/>
      <c r="C304" s="65"/>
      <c r="D304" s="65"/>
      <c r="E304" s="66"/>
      <c r="F304" s="67"/>
      <c r="G304" s="67"/>
      <c r="H304" s="66"/>
      <c r="I304" s="66"/>
      <c r="J304" s="66"/>
      <c r="K304" s="66"/>
      <c r="L304" s="66"/>
      <c r="M304" s="66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3.5" customHeight="1" x14ac:dyDescent="0.3">
      <c r="A305" s="43"/>
      <c r="B305" s="43"/>
      <c r="C305" s="43"/>
      <c r="D305" s="43"/>
      <c r="E305" s="44"/>
      <c r="F305" s="45"/>
      <c r="G305" s="45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3.5" customHeight="1" x14ac:dyDescent="0.3">
      <c r="A306" s="40" t="s">
        <v>214</v>
      </c>
      <c r="B306" s="68"/>
      <c r="C306" s="68"/>
      <c r="D306" s="40"/>
      <c r="E306" s="39"/>
      <c r="F306" s="39"/>
      <c r="G306" s="39"/>
      <c r="H306" s="57"/>
      <c r="I306" s="57"/>
      <c r="J306" s="57"/>
      <c r="K306" s="57"/>
      <c r="L306" s="57"/>
      <c r="M306" s="57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3.5" customHeight="1" x14ac:dyDescent="0.3">
      <c r="A307" s="43"/>
      <c r="B307" s="43"/>
      <c r="C307" s="43"/>
      <c r="D307" s="43"/>
      <c r="E307" s="44"/>
      <c r="F307" s="45"/>
      <c r="G307" s="45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3.5" customHeight="1" x14ac:dyDescent="0.3">
      <c r="A308" s="63" t="s">
        <v>215</v>
      </c>
      <c r="B308" s="43"/>
      <c r="C308" s="43"/>
      <c r="D308" s="46"/>
      <c r="E308" s="77" t="s">
        <v>216</v>
      </c>
      <c r="F308" s="77" t="s">
        <v>217</v>
      </c>
      <c r="G308" s="77"/>
      <c r="H308" s="77" t="s">
        <v>218</v>
      </c>
      <c r="I308" s="77" t="s">
        <v>219</v>
      </c>
      <c r="J308" s="77" t="s">
        <v>220</v>
      </c>
      <c r="K308" s="77"/>
      <c r="L308" s="77" t="s">
        <v>221</v>
      </c>
      <c r="M308" s="77" t="s">
        <v>221</v>
      </c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3.5" customHeight="1" x14ac:dyDescent="0.3">
      <c r="A309" s="43" t="s">
        <v>222</v>
      </c>
      <c r="B309" s="43"/>
      <c r="C309" s="43"/>
      <c r="D309" s="46"/>
      <c r="E309" s="44"/>
      <c r="F309" s="46">
        <f>H309*2.1</f>
        <v>1568700</v>
      </c>
      <c r="G309" s="46"/>
      <c r="H309" s="44">
        <v>747000</v>
      </c>
      <c r="I309" s="46">
        <f t="shared" ref="I309:I312" si="240">F309-H309</f>
        <v>821700</v>
      </c>
      <c r="J309" s="80">
        <f t="shared" ref="J309:J312" si="241">IF(F309&lt;&gt;0,I309/F309,"n/a")</f>
        <v>0.52380952380952384</v>
      </c>
      <c r="K309" s="46"/>
      <c r="L309" s="46" t="e">
        <f t="shared" ref="L309:M309" si="242">H309/E309</f>
        <v>#DIV/0!</v>
      </c>
      <c r="M309" s="46">
        <f t="shared" si="242"/>
        <v>0.52380952380952384</v>
      </c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3.5" customHeight="1" x14ac:dyDescent="0.3">
      <c r="A310" s="43" t="s">
        <v>223</v>
      </c>
      <c r="B310" s="43"/>
      <c r="C310" s="43"/>
      <c r="D310" s="46"/>
      <c r="E310" s="44"/>
      <c r="F310" s="46">
        <f>H310*2.7</f>
        <v>4746600</v>
      </c>
      <c r="G310" s="46"/>
      <c r="H310" s="44">
        <f>1758000</f>
        <v>1758000</v>
      </c>
      <c r="I310" s="46">
        <f t="shared" si="240"/>
        <v>2988600</v>
      </c>
      <c r="J310" s="80">
        <f t="shared" si="241"/>
        <v>0.62962962962962965</v>
      </c>
      <c r="K310" s="46"/>
      <c r="L310" s="46" t="e">
        <f t="shared" ref="L310:M310" si="243">H310/E310</f>
        <v>#DIV/0!</v>
      </c>
      <c r="M310" s="46">
        <f t="shared" si="243"/>
        <v>0.62962962962962965</v>
      </c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3.5" customHeight="1" x14ac:dyDescent="0.3">
      <c r="A311" s="43" t="s">
        <v>224</v>
      </c>
      <c r="B311" s="43"/>
      <c r="C311" s="43"/>
      <c r="D311" s="46"/>
      <c r="E311" s="44"/>
      <c r="F311" s="44">
        <v>32500000</v>
      </c>
      <c r="G311" s="44"/>
      <c r="H311" s="44">
        <v>20000000</v>
      </c>
      <c r="I311" s="46">
        <f t="shared" si="240"/>
        <v>12500000</v>
      </c>
      <c r="J311" s="80">
        <f t="shared" si="241"/>
        <v>0.38461538461538464</v>
      </c>
      <c r="K311" s="46"/>
      <c r="L311" s="46" t="e">
        <f t="shared" ref="L311:M311" si="244">H311/E311</f>
        <v>#DIV/0!</v>
      </c>
      <c r="M311" s="46">
        <f t="shared" si="244"/>
        <v>0.38461538461538464</v>
      </c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3.5" customHeight="1" x14ac:dyDescent="0.3">
      <c r="A312" s="43" t="s">
        <v>225</v>
      </c>
      <c r="B312" s="43"/>
      <c r="C312" s="43"/>
      <c r="D312" s="46"/>
      <c r="E312" s="97" t="s">
        <v>226</v>
      </c>
      <c r="F312" s="44">
        <v>0</v>
      </c>
      <c r="G312" s="44"/>
      <c r="H312" s="44"/>
      <c r="I312" s="46">
        <f t="shared" si="240"/>
        <v>0</v>
      </c>
      <c r="J312" s="80" t="str">
        <f t="shared" si="241"/>
        <v>n/a</v>
      </c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3.5" customHeight="1" x14ac:dyDescent="0.3">
      <c r="A313" s="43"/>
      <c r="B313" s="43"/>
      <c r="C313" s="43"/>
      <c r="D313" s="43"/>
      <c r="E313" s="46"/>
      <c r="F313" s="44"/>
      <c r="G313" s="44"/>
      <c r="H313" s="45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3.5" customHeight="1" x14ac:dyDescent="0.3">
      <c r="A314" s="63" t="s">
        <v>227</v>
      </c>
      <c r="B314" s="43"/>
      <c r="C314" s="43"/>
      <c r="D314" s="77" t="s">
        <v>89</v>
      </c>
      <c r="E314" s="45" t="s">
        <v>115</v>
      </c>
      <c r="F314" s="77" t="s">
        <v>217</v>
      </c>
      <c r="G314" s="77"/>
      <c r="H314" s="77" t="s">
        <v>218</v>
      </c>
      <c r="I314" s="77" t="s">
        <v>219</v>
      </c>
      <c r="J314" s="77" t="s">
        <v>220</v>
      </c>
      <c r="K314" s="77"/>
      <c r="L314" s="77"/>
      <c r="M314" s="77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3.5" customHeight="1" x14ac:dyDescent="0.3">
      <c r="A315" s="43" t="s">
        <v>228</v>
      </c>
      <c r="B315" s="43"/>
      <c r="C315" s="43"/>
      <c r="D315" s="43" t="s">
        <v>229</v>
      </c>
      <c r="E315" s="44">
        <v>6500</v>
      </c>
      <c r="F315" s="46">
        <f t="shared" ref="F315:F316" si="245">E315</f>
        <v>6500</v>
      </c>
      <c r="G315" s="46"/>
      <c r="H315" s="44">
        <v>800</v>
      </c>
      <c r="I315" s="46">
        <f t="shared" ref="I315:I316" si="246">F315-H315</f>
        <v>5700</v>
      </c>
      <c r="J315" s="80">
        <f t="shared" ref="J315:J316" si="247">IF(F315&lt;&gt;0,I315/F315,"n/a")</f>
        <v>0.87692307692307692</v>
      </c>
      <c r="K315" s="43" t="s">
        <v>230</v>
      </c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3.5" customHeight="1" x14ac:dyDescent="0.3">
      <c r="A316" s="43" t="s">
        <v>231</v>
      </c>
      <c r="B316" s="43"/>
      <c r="C316" s="43"/>
      <c r="D316" s="43" t="s">
        <v>232</v>
      </c>
      <c r="E316" s="44">
        <v>350</v>
      </c>
      <c r="F316" s="46">
        <f t="shared" si="245"/>
        <v>350</v>
      </c>
      <c r="G316" s="46"/>
      <c r="H316" s="44">
        <v>100</v>
      </c>
      <c r="I316" s="46">
        <f t="shared" si="246"/>
        <v>250</v>
      </c>
      <c r="J316" s="80">
        <f t="shared" si="247"/>
        <v>0.7142857142857143</v>
      </c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3.5" customHeight="1" x14ac:dyDescent="0.3">
      <c r="A317" s="43" t="s">
        <v>233</v>
      </c>
      <c r="B317" s="43"/>
      <c r="C317" s="43"/>
      <c r="D317" s="43"/>
      <c r="E317" s="44"/>
      <c r="F317" s="46"/>
      <c r="G317" s="46"/>
      <c r="H317" s="44"/>
      <c r="I317" s="46"/>
      <c r="J317" s="80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3.5" customHeight="1" x14ac:dyDescent="0.3">
      <c r="A318" s="43" t="s">
        <v>234</v>
      </c>
      <c r="B318" s="43"/>
      <c r="C318" s="43"/>
      <c r="D318" s="43" t="s">
        <v>235</v>
      </c>
      <c r="E318" s="50">
        <v>0.04</v>
      </c>
      <c r="F318" s="46">
        <f>E318*F309</f>
        <v>62748</v>
      </c>
      <c r="G318" s="46"/>
      <c r="H318" s="44">
        <f>F318*15%</f>
        <v>9412.1999999999989</v>
      </c>
      <c r="I318" s="46">
        <f t="shared" ref="I318:I319" si="248">F318-H318</f>
        <v>53335.8</v>
      </c>
      <c r="J318" s="80">
        <f t="shared" ref="J318:J319" si="249">IF(F318&lt;&gt;0,I318/F318,"n/a")</f>
        <v>0.85000000000000009</v>
      </c>
      <c r="K318" s="43" t="s">
        <v>236</v>
      </c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3.5" customHeight="1" x14ac:dyDescent="0.3">
      <c r="A319" s="43" t="s">
        <v>237</v>
      </c>
      <c r="B319" s="43"/>
      <c r="C319" s="43"/>
      <c r="D319" s="43" t="s">
        <v>235</v>
      </c>
      <c r="E319" s="50">
        <v>0.03</v>
      </c>
      <c r="F319" s="46">
        <f>E319*F311</f>
        <v>975000</v>
      </c>
      <c r="G319" s="46"/>
      <c r="H319" s="44">
        <f>F319*20%</f>
        <v>195000</v>
      </c>
      <c r="I319" s="46">
        <f t="shared" si="248"/>
        <v>780000</v>
      </c>
      <c r="J319" s="80">
        <f t="shared" si="249"/>
        <v>0.8</v>
      </c>
      <c r="K319" s="43" t="s">
        <v>238</v>
      </c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3.5" customHeight="1" x14ac:dyDescent="0.3">
      <c r="A320" s="43"/>
      <c r="B320" s="43"/>
      <c r="C320" s="43"/>
      <c r="D320" s="43"/>
      <c r="E320" s="44"/>
      <c r="F320" s="45"/>
      <c r="G320" s="45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3.5" customHeight="1" x14ac:dyDescent="0.3">
      <c r="A321" s="43"/>
      <c r="B321" s="43"/>
      <c r="C321" s="43"/>
      <c r="D321" s="35"/>
      <c r="E321" s="36"/>
      <c r="F321" s="36" t="s">
        <v>163</v>
      </c>
      <c r="G321" s="36"/>
      <c r="H321" s="37" t="s">
        <v>81</v>
      </c>
      <c r="I321" s="37" t="s">
        <v>82</v>
      </c>
      <c r="J321" s="37" t="s">
        <v>83</v>
      </c>
      <c r="K321" s="37" t="s">
        <v>84</v>
      </c>
      <c r="L321" s="37" t="s">
        <v>85</v>
      </c>
      <c r="M321" s="37" t="s">
        <v>86</v>
      </c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3.5" customHeight="1" x14ac:dyDescent="0.3">
      <c r="A322" s="40" t="s">
        <v>87</v>
      </c>
      <c r="B322" s="68"/>
      <c r="C322" s="68"/>
      <c r="D322" s="40" t="s">
        <v>89</v>
      </c>
      <c r="E322" s="39" t="s">
        <v>115</v>
      </c>
      <c r="F322" s="39" t="s">
        <v>142</v>
      </c>
      <c r="G322" s="39"/>
      <c r="H322" s="57">
        <f t="shared" ref="H322:M322" si="250">H$58</f>
        <v>2022</v>
      </c>
      <c r="I322" s="57">
        <f t="shared" si="250"/>
        <v>2023</v>
      </c>
      <c r="J322" s="57">
        <f t="shared" si="250"/>
        <v>2024</v>
      </c>
      <c r="K322" s="57">
        <f t="shared" si="250"/>
        <v>2025</v>
      </c>
      <c r="L322" s="57">
        <f t="shared" si="250"/>
        <v>2026</v>
      </c>
      <c r="M322" s="57">
        <f t="shared" si="250"/>
        <v>2027</v>
      </c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3.5" customHeight="1" x14ac:dyDescent="0.3">
      <c r="A323" s="43"/>
      <c r="B323" s="43"/>
      <c r="C323" s="43"/>
      <c r="D323" s="43"/>
      <c r="E323" s="44"/>
      <c r="F323" s="45"/>
      <c r="G323" s="45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3.5" customHeight="1" x14ac:dyDescent="0.3">
      <c r="A324" s="63" t="s">
        <v>239</v>
      </c>
      <c r="B324" s="43"/>
      <c r="C324" s="46"/>
      <c r="D324" s="77" t="s">
        <v>240</v>
      </c>
      <c r="E324" s="77" t="s">
        <v>241</v>
      </c>
      <c r="F324" s="77" t="s">
        <v>242</v>
      </c>
      <c r="G324" s="77"/>
      <c r="H324" s="46"/>
      <c r="I324" s="46"/>
      <c r="J324" s="46"/>
      <c r="K324" s="77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3.5" customHeight="1" x14ac:dyDescent="0.3">
      <c r="A325" s="43" t="s">
        <v>243</v>
      </c>
      <c r="B325" s="43"/>
      <c r="C325" s="46"/>
      <c r="D325" s="44">
        <v>112</v>
      </c>
      <c r="E325" s="50">
        <v>0.02</v>
      </c>
      <c r="F325" s="46">
        <f t="shared" ref="F325:F326" si="251">D325*E325</f>
        <v>2.2400000000000002</v>
      </c>
      <c r="G325" s="46"/>
      <c r="H325" s="78">
        <f t="shared" ref="H325:M325" si="252">_xlfn.FLOOR.PRECISE($F325*H$330,1)</f>
        <v>0</v>
      </c>
      <c r="I325" s="78">
        <f t="shared" si="252"/>
        <v>0</v>
      </c>
      <c r="J325" s="78">
        <f t="shared" si="252"/>
        <v>0</v>
      </c>
      <c r="K325" s="78">
        <f t="shared" si="252"/>
        <v>0</v>
      </c>
      <c r="L325" s="78">
        <f t="shared" si="252"/>
        <v>1</v>
      </c>
      <c r="M325" s="78">
        <f t="shared" si="252"/>
        <v>2</v>
      </c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3.5" customHeight="1" x14ac:dyDescent="0.3">
      <c r="A326" s="43" t="s">
        <v>244</v>
      </c>
      <c r="B326" s="43"/>
      <c r="C326" s="46"/>
      <c r="D326" s="44">
        <v>1500</v>
      </c>
      <c r="E326" s="50">
        <v>2E-3</v>
      </c>
      <c r="F326" s="46">
        <f t="shared" si="251"/>
        <v>3</v>
      </c>
      <c r="G326" s="46"/>
      <c r="H326" s="78">
        <f t="shared" ref="H326:M326" si="253">_xlfn.FLOOR.PRECISE($F326*H$330,1)</f>
        <v>0</v>
      </c>
      <c r="I326" s="78">
        <f t="shared" si="253"/>
        <v>0</v>
      </c>
      <c r="J326" s="78">
        <f t="shared" si="253"/>
        <v>1</v>
      </c>
      <c r="K326" s="78">
        <f t="shared" si="253"/>
        <v>1</v>
      </c>
      <c r="L326" s="78">
        <f t="shared" si="253"/>
        <v>1</v>
      </c>
      <c r="M326" s="78">
        <f t="shared" si="253"/>
        <v>3</v>
      </c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3.5" customHeight="1" x14ac:dyDescent="0.3">
      <c r="A327" s="43"/>
      <c r="B327" s="43"/>
      <c r="C327" s="46"/>
      <c r="D327" s="44"/>
      <c r="E327" s="50"/>
      <c r="F327" s="46"/>
      <c r="G327" s="46"/>
      <c r="H327" s="78"/>
      <c r="I327" s="78"/>
      <c r="J327" s="78"/>
      <c r="K327" s="78"/>
      <c r="L327" s="78"/>
      <c r="M327" s="78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3.5" customHeight="1" x14ac:dyDescent="0.3">
      <c r="A328" s="82" t="s">
        <v>245</v>
      </c>
      <c r="B328" s="47"/>
      <c r="C328" s="51"/>
      <c r="D328" s="51">
        <f>SUM(D325:D327)</f>
        <v>1612</v>
      </c>
      <c r="E328" s="51"/>
      <c r="F328" s="51">
        <f>SUM(F325:F327)</f>
        <v>5.24</v>
      </c>
      <c r="G328" s="51"/>
      <c r="H328" s="98">
        <f t="shared" ref="H328:M328" si="254">SUM(H325:H327)</f>
        <v>0</v>
      </c>
      <c r="I328" s="98">
        <f t="shared" si="254"/>
        <v>0</v>
      </c>
      <c r="J328" s="98">
        <f t="shared" si="254"/>
        <v>1</v>
      </c>
      <c r="K328" s="98">
        <f t="shared" si="254"/>
        <v>1</v>
      </c>
      <c r="L328" s="98">
        <f t="shared" si="254"/>
        <v>2</v>
      </c>
      <c r="M328" s="98">
        <f t="shared" si="254"/>
        <v>5</v>
      </c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3.5" customHeight="1" x14ac:dyDescent="0.3">
      <c r="A329" s="99" t="s">
        <v>246</v>
      </c>
      <c r="B329" s="63"/>
      <c r="C329" s="45"/>
      <c r="D329" s="45"/>
      <c r="E329" s="45"/>
      <c r="F329" s="45"/>
      <c r="G329" s="45"/>
      <c r="H329" s="100">
        <f>H328</f>
        <v>0</v>
      </c>
      <c r="I329" s="100">
        <f t="shared" ref="I329:M329" si="255">H329+I328</f>
        <v>0</v>
      </c>
      <c r="J329" s="100">
        <f t="shared" si="255"/>
        <v>1</v>
      </c>
      <c r="K329" s="100">
        <f t="shared" si="255"/>
        <v>2</v>
      </c>
      <c r="L329" s="100">
        <f t="shared" si="255"/>
        <v>4</v>
      </c>
      <c r="M329" s="100">
        <f t="shared" si="255"/>
        <v>9</v>
      </c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3.5" customHeight="1" x14ac:dyDescent="0.3">
      <c r="A330" s="43" t="s">
        <v>247</v>
      </c>
      <c r="B330" s="43"/>
      <c r="C330" s="43"/>
      <c r="D330" s="43"/>
      <c r="E330" s="46"/>
      <c r="F330" s="45"/>
      <c r="G330" s="45"/>
      <c r="H330" s="50">
        <v>0</v>
      </c>
      <c r="I330" s="50">
        <v>0.2</v>
      </c>
      <c r="J330" s="50">
        <v>0.4</v>
      </c>
      <c r="K330" s="50">
        <v>0.4</v>
      </c>
      <c r="L330" s="50">
        <v>0.5</v>
      </c>
      <c r="M330" s="50">
        <v>1</v>
      </c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3.5" customHeight="1" x14ac:dyDescent="0.3">
      <c r="A331" s="43"/>
      <c r="B331" s="43"/>
      <c r="C331" s="43"/>
      <c r="D331" s="43"/>
      <c r="E331" s="44"/>
      <c r="F331" s="45"/>
      <c r="G331" s="45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3.5" customHeight="1" x14ac:dyDescent="0.3">
      <c r="A332" s="43"/>
      <c r="B332" s="43"/>
      <c r="C332" s="43"/>
      <c r="D332" s="35"/>
      <c r="E332" s="36"/>
      <c r="F332" s="36" t="s">
        <v>163</v>
      </c>
      <c r="G332" s="36"/>
      <c r="H332" s="37" t="s">
        <v>81</v>
      </c>
      <c r="I332" s="37" t="s">
        <v>82</v>
      </c>
      <c r="J332" s="37" t="s">
        <v>83</v>
      </c>
      <c r="K332" s="37" t="s">
        <v>84</v>
      </c>
      <c r="L332" s="37" t="s">
        <v>85</v>
      </c>
      <c r="M332" s="37" t="s">
        <v>86</v>
      </c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3.5" customHeight="1" x14ac:dyDescent="0.3">
      <c r="A333" s="40" t="s">
        <v>248</v>
      </c>
      <c r="B333" s="68"/>
      <c r="C333" s="68"/>
      <c r="D333" s="40" t="s">
        <v>89</v>
      </c>
      <c r="E333" s="39" t="s">
        <v>115</v>
      </c>
      <c r="F333" s="39" t="s">
        <v>142</v>
      </c>
      <c r="G333" s="39"/>
      <c r="H333" s="57">
        <f t="shared" ref="H333:M333" si="256">H$58</f>
        <v>2022</v>
      </c>
      <c r="I333" s="57">
        <f t="shared" si="256"/>
        <v>2023</v>
      </c>
      <c r="J333" s="57">
        <f t="shared" si="256"/>
        <v>2024</v>
      </c>
      <c r="K333" s="57">
        <f t="shared" si="256"/>
        <v>2025</v>
      </c>
      <c r="L333" s="57">
        <f t="shared" si="256"/>
        <v>2026</v>
      </c>
      <c r="M333" s="57">
        <f t="shared" si="256"/>
        <v>2027</v>
      </c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3.5" customHeight="1" x14ac:dyDescent="0.3">
      <c r="A334" s="43"/>
      <c r="B334" s="43"/>
      <c r="C334" s="43"/>
      <c r="D334" s="43"/>
      <c r="E334" s="44"/>
      <c r="F334" s="45"/>
      <c r="G334" s="45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3.5" customHeight="1" x14ac:dyDescent="0.3">
      <c r="A335" s="43" t="str">
        <f t="shared" ref="A335:A336" si="257">A309</f>
        <v>IMPIANTI CONTO TERZI SEQUESTRO C02 IN ITALIA</v>
      </c>
      <c r="B335" s="43"/>
      <c r="C335" s="43"/>
      <c r="D335" s="78"/>
      <c r="E335" s="81" t="s">
        <v>249</v>
      </c>
      <c r="F335" s="100">
        <f t="shared" ref="F335:F339" si="258">SUM(H335:M335)</f>
        <v>14.3</v>
      </c>
      <c r="G335" s="100"/>
      <c r="H335" s="62">
        <v>0.3</v>
      </c>
      <c r="I335" s="62">
        <v>1</v>
      </c>
      <c r="J335" s="62">
        <v>2</v>
      </c>
      <c r="K335" s="62">
        <v>3</v>
      </c>
      <c r="L335" s="62">
        <v>4</v>
      </c>
      <c r="M335" s="62">
        <v>4</v>
      </c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3.5" customHeight="1" x14ac:dyDescent="0.3">
      <c r="A336" s="43" t="str">
        <f t="shared" si="257"/>
        <v>GRANDI IMPIANTI SEQUESTRO C02 ESTERO</v>
      </c>
      <c r="B336" s="43"/>
      <c r="C336" s="43"/>
      <c r="D336" s="78"/>
      <c r="E336" s="81" t="s">
        <v>249</v>
      </c>
      <c r="F336" s="100">
        <f t="shared" si="258"/>
        <v>0</v>
      </c>
      <c r="G336" s="100"/>
      <c r="H336" s="62">
        <v>0</v>
      </c>
      <c r="I336" s="62">
        <v>0</v>
      </c>
      <c r="J336" s="62">
        <v>0</v>
      </c>
      <c r="K336" s="62">
        <v>0</v>
      </c>
      <c r="L336" s="62">
        <v>0</v>
      </c>
      <c r="M336" s="62">
        <v>0</v>
      </c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3.5" customHeight="1" x14ac:dyDescent="0.3">
      <c r="A337" s="43" t="s">
        <v>224</v>
      </c>
      <c r="B337" s="43"/>
      <c r="C337" s="43"/>
      <c r="D337" s="78"/>
      <c r="E337" s="81" t="s">
        <v>249</v>
      </c>
      <c r="F337" s="100">
        <f t="shared" si="258"/>
        <v>0</v>
      </c>
      <c r="G337" s="100"/>
      <c r="H337" s="62">
        <v>0</v>
      </c>
      <c r="I337" s="62">
        <v>0</v>
      </c>
      <c r="J337" s="62">
        <v>0</v>
      </c>
      <c r="K337" s="62">
        <v>0</v>
      </c>
      <c r="L337" s="62">
        <v>0</v>
      </c>
      <c r="M337" s="62">
        <v>0</v>
      </c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3.5" customHeight="1" x14ac:dyDescent="0.3">
      <c r="A338" s="43" t="str">
        <f>A318</f>
        <v>Consulenza e Manutenzione impianti</v>
      </c>
      <c r="B338" s="43"/>
      <c r="C338" s="43"/>
      <c r="D338" s="78"/>
      <c r="E338" s="81" t="s">
        <v>249</v>
      </c>
      <c r="F338" s="100">
        <f t="shared" si="258"/>
        <v>0</v>
      </c>
      <c r="G338" s="100"/>
      <c r="H338" s="62">
        <v>0</v>
      </c>
      <c r="I338" s="62">
        <v>0</v>
      </c>
      <c r="J338" s="62">
        <v>0</v>
      </c>
      <c r="K338" s="62">
        <v>0</v>
      </c>
      <c r="L338" s="62">
        <v>0</v>
      </c>
      <c r="M338" s="62">
        <v>0</v>
      </c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3.5" customHeight="1" x14ac:dyDescent="0.3">
      <c r="A339" s="47" t="s">
        <v>142</v>
      </c>
      <c r="B339" s="89"/>
      <c r="C339" s="89"/>
      <c r="D339" s="89"/>
      <c r="E339" s="83" t="s">
        <v>249</v>
      </c>
      <c r="F339" s="100">
        <f t="shared" si="258"/>
        <v>14.3</v>
      </c>
      <c r="G339" s="100"/>
      <c r="H339" s="51">
        <f t="shared" ref="H339:M339" si="259">SUM(H335:H336)</f>
        <v>0.3</v>
      </c>
      <c r="I339" s="98">
        <f t="shared" si="259"/>
        <v>1</v>
      </c>
      <c r="J339" s="98">
        <f t="shared" si="259"/>
        <v>2</v>
      </c>
      <c r="K339" s="98">
        <f t="shared" si="259"/>
        <v>3</v>
      </c>
      <c r="L339" s="98">
        <f t="shared" si="259"/>
        <v>4</v>
      </c>
      <c r="M339" s="98">
        <f t="shared" si="259"/>
        <v>4</v>
      </c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13.5" customHeight="1" x14ac:dyDescent="0.3">
      <c r="A340" s="43"/>
      <c r="B340" s="43"/>
      <c r="C340" s="43"/>
      <c r="D340" s="43"/>
      <c r="E340" s="44"/>
      <c r="F340" s="45"/>
      <c r="G340" s="45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3.5" customHeight="1" x14ac:dyDescent="0.3">
      <c r="A341" s="47" t="s">
        <v>250</v>
      </c>
      <c r="B341" s="47"/>
      <c r="C341" s="47"/>
      <c r="D341" s="51" t="s">
        <v>251</v>
      </c>
      <c r="E341" s="51" t="s">
        <v>252</v>
      </c>
      <c r="F341" s="51" t="s">
        <v>253</v>
      </c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3.5" customHeight="1" x14ac:dyDescent="0.3">
      <c r="A342" s="43" t="str">
        <f t="shared" ref="A342:A344" si="260">A309</f>
        <v>IMPIANTI CONTO TERZI SEQUESTRO C02 IN ITALIA</v>
      </c>
      <c r="B342" s="43"/>
      <c r="C342" s="43"/>
      <c r="D342" s="78">
        <f t="shared" ref="D342:D344" si="261">F309/1000</f>
        <v>1568.7</v>
      </c>
      <c r="E342" s="81" t="s">
        <v>226</v>
      </c>
      <c r="F342" s="45">
        <f t="shared" ref="F342:F349" si="262">SUM(H342:L342)</f>
        <v>16157.61</v>
      </c>
      <c r="G342" s="45"/>
      <c r="H342" s="46">
        <f t="shared" ref="H342:M342" si="263">H335*$D342</f>
        <v>470.61</v>
      </c>
      <c r="I342" s="46">
        <f t="shared" si="263"/>
        <v>1568.7</v>
      </c>
      <c r="J342" s="46">
        <f t="shared" si="263"/>
        <v>3137.4</v>
      </c>
      <c r="K342" s="46">
        <f t="shared" si="263"/>
        <v>4706.1000000000004</v>
      </c>
      <c r="L342" s="46">
        <f t="shared" si="263"/>
        <v>6274.8</v>
      </c>
      <c r="M342" s="46">
        <f t="shared" si="263"/>
        <v>6274.8</v>
      </c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3.5" customHeight="1" x14ac:dyDescent="0.3">
      <c r="A343" s="43" t="str">
        <f t="shared" si="260"/>
        <v>GRANDI IMPIANTI SEQUESTRO C02 ESTERO</v>
      </c>
      <c r="B343" s="43"/>
      <c r="C343" s="43"/>
      <c r="D343" s="78">
        <f t="shared" si="261"/>
        <v>4746.6000000000004</v>
      </c>
      <c r="E343" s="81" t="s">
        <v>226</v>
      </c>
      <c r="F343" s="45">
        <f t="shared" si="262"/>
        <v>0</v>
      </c>
      <c r="G343" s="45"/>
      <c r="H343" s="46">
        <f t="shared" ref="H343:M343" si="264">H336*$D343</f>
        <v>0</v>
      </c>
      <c r="I343" s="46">
        <f t="shared" si="264"/>
        <v>0</v>
      </c>
      <c r="J343" s="46">
        <f t="shared" si="264"/>
        <v>0</v>
      </c>
      <c r="K343" s="46">
        <f t="shared" si="264"/>
        <v>0</v>
      </c>
      <c r="L343" s="46">
        <f t="shared" si="264"/>
        <v>0</v>
      </c>
      <c r="M343" s="46">
        <f t="shared" si="264"/>
        <v>0</v>
      </c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3.5" customHeight="1" x14ac:dyDescent="0.3">
      <c r="A344" s="43" t="str">
        <f t="shared" si="260"/>
        <v>IMPIANTI SPECIALI</v>
      </c>
      <c r="B344" s="43"/>
      <c r="C344" s="43"/>
      <c r="D344" s="78">
        <f t="shared" si="261"/>
        <v>32500</v>
      </c>
      <c r="E344" s="81" t="s">
        <v>226</v>
      </c>
      <c r="F344" s="45">
        <f t="shared" si="262"/>
        <v>0</v>
      </c>
      <c r="G344" s="45"/>
      <c r="H344" s="46">
        <f t="shared" ref="H344:M344" si="265">H337*$D344</f>
        <v>0</v>
      </c>
      <c r="I344" s="46">
        <f t="shared" si="265"/>
        <v>0</v>
      </c>
      <c r="J344" s="46">
        <f t="shared" si="265"/>
        <v>0</v>
      </c>
      <c r="K344" s="46">
        <f t="shared" si="265"/>
        <v>0</v>
      </c>
      <c r="L344" s="46">
        <f t="shared" si="265"/>
        <v>0</v>
      </c>
      <c r="M344" s="46">
        <f t="shared" si="265"/>
        <v>0</v>
      </c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3.5" customHeight="1" x14ac:dyDescent="0.3">
      <c r="A345" s="43" t="str">
        <f t="shared" ref="A345:A346" si="266">A315</f>
        <v>Consulenza e progettazione pre-vendita</v>
      </c>
      <c r="B345" s="43"/>
      <c r="C345" s="43"/>
      <c r="D345" s="78">
        <f t="shared" ref="D345:D346" si="267">F315/1000</f>
        <v>6.5</v>
      </c>
      <c r="E345" s="101">
        <f>1/3</f>
        <v>0.33333333333333331</v>
      </c>
      <c r="F345" s="45">
        <f t="shared" si="262"/>
        <v>66.95</v>
      </c>
      <c r="G345" s="45"/>
      <c r="H345" s="46">
        <f t="shared" ref="H345:M345" si="268">H339*$D345</f>
        <v>1.95</v>
      </c>
      <c r="I345" s="46">
        <f t="shared" si="268"/>
        <v>6.5</v>
      </c>
      <c r="J345" s="46">
        <f t="shared" si="268"/>
        <v>13</v>
      </c>
      <c r="K345" s="46">
        <f t="shared" si="268"/>
        <v>19.5</v>
      </c>
      <c r="L345" s="46">
        <f t="shared" si="268"/>
        <v>26</v>
      </c>
      <c r="M345" s="46">
        <f t="shared" si="268"/>
        <v>26</v>
      </c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3.5" customHeight="1" x14ac:dyDescent="0.3">
      <c r="A346" s="43" t="str">
        <f t="shared" si="266"/>
        <v>Consulenza post-vendita impianto</v>
      </c>
      <c r="B346" s="43"/>
      <c r="C346" s="43"/>
      <c r="D346" s="78">
        <f t="shared" si="267"/>
        <v>0.35</v>
      </c>
      <c r="E346" s="101">
        <v>0.33</v>
      </c>
      <c r="F346" s="45">
        <f t="shared" si="262"/>
        <v>3.6049999999999995</v>
      </c>
      <c r="G346" s="45"/>
      <c r="H346" s="46">
        <f t="shared" ref="H346:M346" si="269">H339*$D346</f>
        <v>0.105</v>
      </c>
      <c r="I346" s="46">
        <f t="shared" si="269"/>
        <v>0.35</v>
      </c>
      <c r="J346" s="46">
        <f t="shared" si="269"/>
        <v>0.7</v>
      </c>
      <c r="K346" s="46">
        <f t="shared" si="269"/>
        <v>1.0499999999999998</v>
      </c>
      <c r="L346" s="46">
        <f t="shared" si="269"/>
        <v>1.4</v>
      </c>
      <c r="M346" s="46">
        <f t="shared" si="269"/>
        <v>1.4</v>
      </c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3.5" customHeight="1" x14ac:dyDescent="0.3">
      <c r="A347" s="43" t="str">
        <f>A318</f>
        <v>Consulenza e Manutenzione impianti</v>
      </c>
      <c r="B347" s="43"/>
      <c r="C347" s="43"/>
      <c r="D347" s="78">
        <f t="shared" ref="D347:D348" si="270">F318/1000</f>
        <v>62.747999999999998</v>
      </c>
      <c r="E347" s="81" t="s">
        <v>226</v>
      </c>
      <c r="F347" s="45">
        <f t="shared" si="262"/>
        <v>646.30439999999999</v>
      </c>
      <c r="G347" s="45"/>
      <c r="H347" s="46">
        <f t="shared" ref="H347:M347" si="271">H339*$D347+H338*$D347</f>
        <v>18.824399999999997</v>
      </c>
      <c r="I347" s="46">
        <f t="shared" si="271"/>
        <v>62.747999999999998</v>
      </c>
      <c r="J347" s="46">
        <f t="shared" si="271"/>
        <v>125.496</v>
      </c>
      <c r="K347" s="46">
        <f t="shared" si="271"/>
        <v>188.244</v>
      </c>
      <c r="L347" s="46">
        <f t="shared" si="271"/>
        <v>250.99199999999999</v>
      </c>
      <c r="M347" s="46">
        <f t="shared" si="271"/>
        <v>250.99199999999999</v>
      </c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3.5" customHeight="1" x14ac:dyDescent="0.3">
      <c r="A348" s="43" t="s">
        <v>254</v>
      </c>
      <c r="B348" s="43"/>
      <c r="C348" s="43"/>
      <c r="D348" s="78">
        <f t="shared" si="270"/>
        <v>975</v>
      </c>
      <c r="E348" s="81" t="s">
        <v>226</v>
      </c>
      <c r="F348" s="45">
        <f t="shared" si="262"/>
        <v>0</v>
      </c>
      <c r="G348" s="45"/>
      <c r="H348" s="46">
        <f t="shared" ref="H348:M348" si="272">H337*$D348</f>
        <v>0</v>
      </c>
      <c r="I348" s="46">
        <f t="shared" si="272"/>
        <v>0</v>
      </c>
      <c r="J348" s="46">
        <f t="shared" si="272"/>
        <v>0</v>
      </c>
      <c r="K348" s="46">
        <f t="shared" si="272"/>
        <v>0</v>
      </c>
      <c r="L348" s="46">
        <f t="shared" si="272"/>
        <v>0</v>
      </c>
      <c r="M348" s="46">
        <f t="shared" si="272"/>
        <v>0</v>
      </c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3.5" customHeight="1" x14ac:dyDescent="0.3">
      <c r="A349" s="102" t="s">
        <v>255</v>
      </c>
      <c r="B349" s="103"/>
      <c r="C349" s="103"/>
      <c r="D349" s="103"/>
      <c r="E349" s="104"/>
      <c r="F349" s="105">
        <f t="shared" si="262"/>
        <v>16874.469400000002</v>
      </c>
      <c r="G349" s="105"/>
      <c r="H349" s="105">
        <f t="shared" ref="H349:M349" si="273">SUM(H342:H348)</f>
        <v>491.48940000000005</v>
      </c>
      <c r="I349" s="105">
        <f t="shared" si="273"/>
        <v>1638.298</v>
      </c>
      <c r="J349" s="105">
        <f t="shared" si="273"/>
        <v>3276.596</v>
      </c>
      <c r="K349" s="105">
        <f t="shared" si="273"/>
        <v>4914.8940000000002</v>
      </c>
      <c r="L349" s="105">
        <f t="shared" si="273"/>
        <v>6553.192</v>
      </c>
      <c r="M349" s="105">
        <f t="shared" si="273"/>
        <v>6553.192</v>
      </c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3.5" customHeight="1" x14ac:dyDescent="0.3">
      <c r="A350" s="43"/>
      <c r="B350" s="43"/>
      <c r="C350" s="43"/>
      <c r="D350" s="43"/>
      <c r="E350" s="44"/>
      <c r="F350" s="45"/>
      <c r="G350" s="45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3.5" customHeight="1" x14ac:dyDescent="0.3">
      <c r="A351" s="47" t="s">
        <v>256</v>
      </c>
      <c r="B351" s="47"/>
      <c r="C351" s="47"/>
      <c r="D351" s="51" t="s">
        <v>257</v>
      </c>
      <c r="E351" s="51" t="s">
        <v>258</v>
      </c>
      <c r="F351" s="51" t="s">
        <v>253</v>
      </c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3.5" customHeight="1" x14ac:dyDescent="0.3">
      <c r="A352" s="43" t="str">
        <f t="shared" ref="A352:A358" si="274">A342</f>
        <v>IMPIANTI CONTO TERZI SEQUESTRO C02 IN ITALIA</v>
      </c>
      <c r="B352" s="43"/>
      <c r="C352" s="43"/>
      <c r="D352" s="78">
        <f t="shared" ref="D352:D354" si="275">H309/1000</f>
        <v>747</v>
      </c>
      <c r="E352" s="81">
        <f t="shared" ref="E352:E358" si="276">D352/D342</f>
        <v>0.47619047619047616</v>
      </c>
      <c r="F352" s="45">
        <f t="shared" ref="F352:F359" si="277">SUM(H352:L352)</f>
        <v>7694.1</v>
      </c>
      <c r="G352" s="45"/>
      <c r="H352" s="46">
        <f t="shared" ref="H352:M352" si="278">$E352*H342</f>
        <v>224.1</v>
      </c>
      <c r="I352" s="46">
        <f t="shared" si="278"/>
        <v>747</v>
      </c>
      <c r="J352" s="46">
        <f t="shared" si="278"/>
        <v>1494</v>
      </c>
      <c r="K352" s="46">
        <f t="shared" si="278"/>
        <v>2241</v>
      </c>
      <c r="L352" s="46">
        <f t="shared" si="278"/>
        <v>2988</v>
      </c>
      <c r="M352" s="46">
        <f t="shared" si="278"/>
        <v>2988</v>
      </c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3.5" customHeight="1" x14ac:dyDescent="0.3">
      <c r="A353" s="43" t="str">
        <f t="shared" si="274"/>
        <v>GRANDI IMPIANTI SEQUESTRO C02 ESTERO</v>
      </c>
      <c r="B353" s="43"/>
      <c r="C353" s="43"/>
      <c r="D353" s="78">
        <f t="shared" si="275"/>
        <v>1758</v>
      </c>
      <c r="E353" s="81">
        <f t="shared" si="276"/>
        <v>0.37037037037037035</v>
      </c>
      <c r="F353" s="45">
        <f t="shared" si="277"/>
        <v>0</v>
      </c>
      <c r="G353" s="45"/>
      <c r="H353" s="46">
        <f t="shared" ref="H353:M353" si="279">$E353*H343</f>
        <v>0</v>
      </c>
      <c r="I353" s="46">
        <f t="shared" si="279"/>
        <v>0</v>
      </c>
      <c r="J353" s="46">
        <f t="shared" si="279"/>
        <v>0</v>
      </c>
      <c r="K353" s="46">
        <f t="shared" si="279"/>
        <v>0</v>
      </c>
      <c r="L353" s="46">
        <f t="shared" si="279"/>
        <v>0</v>
      </c>
      <c r="M353" s="46">
        <f t="shared" si="279"/>
        <v>0</v>
      </c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3.5" customHeight="1" x14ac:dyDescent="0.3">
      <c r="A354" s="43" t="str">
        <f t="shared" si="274"/>
        <v>IMPIANTI SPECIALI</v>
      </c>
      <c r="B354" s="43"/>
      <c r="C354" s="43"/>
      <c r="D354" s="78">
        <f t="shared" si="275"/>
        <v>20000</v>
      </c>
      <c r="E354" s="81">
        <f t="shared" si="276"/>
        <v>0.61538461538461542</v>
      </c>
      <c r="F354" s="45">
        <f t="shared" si="277"/>
        <v>0</v>
      </c>
      <c r="G354" s="45"/>
      <c r="H354" s="46">
        <f t="shared" ref="H354:M354" si="280">$E354*H344</f>
        <v>0</v>
      </c>
      <c r="I354" s="46">
        <f t="shared" si="280"/>
        <v>0</v>
      </c>
      <c r="J354" s="46">
        <f t="shared" si="280"/>
        <v>0</v>
      </c>
      <c r="K354" s="46">
        <f t="shared" si="280"/>
        <v>0</v>
      </c>
      <c r="L354" s="46">
        <f t="shared" si="280"/>
        <v>0</v>
      </c>
      <c r="M354" s="46">
        <f t="shared" si="280"/>
        <v>0</v>
      </c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3.5" customHeight="1" x14ac:dyDescent="0.3">
      <c r="A355" s="43" t="str">
        <f t="shared" si="274"/>
        <v>Consulenza e progettazione pre-vendita</v>
      </c>
      <c r="B355" s="43"/>
      <c r="C355" s="43"/>
      <c r="D355" s="78">
        <f t="shared" ref="D355:D356" si="281">H315/1000</f>
        <v>0.8</v>
      </c>
      <c r="E355" s="81">
        <f t="shared" si="276"/>
        <v>0.12307692307692308</v>
      </c>
      <c r="F355" s="45">
        <f t="shared" si="277"/>
        <v>8.240000000000002</v>
      </c>
      <c r="G355" s="45"/>
      <c r="H355" s="46">
        <f t="shared" ref="H355:M355" si="282">$E355*H345</f>
        <v>0.24000000000000002</v>
      </c>
      <c r="I355" s="46">
        <f t="shared" si="282"/>
        <v>0.8</v>
      </c>
      <c r="J355" s="46">
        <f t="shared" si="282"/>
        <v>1.6</v>
      </c>
      <c r="K355" s="46">
        <f t="shared" si="282"/>
        <v>2.4000000000000004</v>
      </c>
      <c r="L355" s="46">
        <f t="shared" si="282"/>
        <v>3.2</v>
      </c>
      <c r="M355" s="46">
        <f t="shared" si="282"/>
        <v>3.2</v>
      </c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3.5" customHeight="1" x14ac:dyDescent="0.3">
      <c r="A356" s="43" t="str">
        <f t="shared" si="274"/>
        <v>Consulenza post-vendita impianto</v>
      </c>
      <c r="B356" s="43"/>
      <c r="C356" s="43"/>
      <c r="D356" s="78">
        <f t="shared" si="281"/>
        <v>0.1</v>
      </c>
      <c r="E356" s="81">
        <f t="shared" si="276"/>
        <v>0.28571428571428575</v>
      </c>
      <c r="F356" s="45">
        <f t="shared" si="277"/>
        <v>1.03</v>
      </c>
      <c r="G356" s="45"/>
      <c r="H356" s="46">
        <f t="shared" ref="H356:M356" si="283">$E356*H346</f>
        <v>3.0000000000000002E-2</v>
      </c>
      <c r="I356" s="46">
        <f t="shared" si="283"/>
        <v>0.1</v>
      </c>
      <c r="J356" s="46">
        <f t="shared" si="283"/>
        <v>0.2</v>
      </c>
      <c r="K356" s="46">
        <f t="shared" si="283"/>
        <v>0.3</v>
      </c>
      <c r="L356" s="46">
        <f t="shared" si="283"/>
        <v>0.4</v>
      </c>
      <c r="M356" s="46">
        <f t="shared" si="283"/>
        <v>0.4</v>
      </c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3.5" customHeight="1" x14ac:dyDescent="0.3">
      <c r="A357" s="43" t="str">
        <f t="shared" si="274"/>
        <v>Consulenza e Manutenzione impianti</v>
      </c>
      <c r="B357" s="43"/>
      <c r="C357" s="43"/>
      <c r="D357" s="78">
        <f t="shared" ref="D357:D358" si="284">H318/1000</f>
        <v>9.4121999999999986</v>
      </c>
      <c r="E357" s="81">
        <f t="shared" si="276"/>
        <v>0.15</v>
      </c>
      <c r="F357" s="45">
        <f t="shared" si="277"/>
        <v>96.94565999999999</v>
      </c>
      <c r="G357" s="45"/>
      <c r="H357" s="46">
        <f t="shared" ref="H357:M357" si="285">$E357*H347</f>
        <v>2.8236599999999994</v>
      </c>
      <c r="I357" s="46">
        <f t="shared" si="285"/>
        <v>9.4121999999999986</v>
      </c>
      <c r="J357" s="46">
        <f t="shared" si="285"/>
        <v>18.824399999999997</v>
      </c>
      <c r="K357" s="46">
        <f t="shared" si="285"/>
        <v>28.236599999999999</v>
      </c>
      <c r="L357" s="46">
        <f t="shared" si="285"/>
        <v>37.648799999999994</v>
      </c>
      <c r="M357" s="46">
        <f t="shared" si="285"/>
        <v>37.648799999999994</v>
      </c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3.5" customHeight="1" x14ac:dyDescent="0.3">
      <c r="A358" s="43" t="str">
        <f t="shared" si="274"/>
        <v>PROGETTAZIONE IMPIANTI SPECIALI</v>
      </c>
      <c r="B358" s="43"/>
      <c r="C358" s="43"/>
      <c r="D358" s="78">
        <f t="shared" si="284"/>
        <v>195</v>
      </c>
      <c r="E358" s="81">
        <f t="shared" si="276"/>
        <v>0.2</v>
      </c>
      <c r="F358" s="45">
        <f t="shared" si="277"/>
        <v>0</v>
      </c>
      <c r="G358" s="45"/>
      <c r="H358" s="46">
        <f t="shared" ref="H358:M358" si="286">$E358*H348</f>
        <v>0</v>
      </c>
      <c r="I358" s="46">
        <f t="shared" si="286"/>
        <v>0</v>
      </c>
      <c r="J358" s="46">
        <f t="shared" si="286"/>
        <v>0</v>
      </c>
      <c r="K358" s="46">
        <f t="shared" si="286"/>
        <v>0</v>
      </c>
      <c r="L358" s="46">
        <f t="shared" si="286"/>
        <v>0</v>
      </c>
      <c r="M358" s="46">
        <f t="shared" si="286"/>
        <v>0</v>
      </c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3.5" customHeight="1" x14ac:dyDescent="0.3">
      <c r="A359" s="102" t="s">
        <v>259</v>
      </c>
      <c r="B359" s="103"/>
      <c r="C359" s="103"/>
      <c r="D359" s="103"/>
      <c r="E359" s="104"/>
      <c r="F359" s="105">
        <f t="shared" si="277"/>
        <v>7800.3156600000002</v>
      </c>
      <c r="G359" s="105"/>
      <c r="H359" s="105">
        <f t="shared" ref="H359:M359" si="287">SUM(H352:H358)</f>
        <v>227.19365999999999</v>
      </c>
      <c r="I359" s="105">
        <f t="shared" si="287"/>
        <v>757.31219999999996</v>
      </c>
      <c r="J359" s="105">
        <f t="shared" si="287"/>
        <v>1514.6243999999999</v>
      </c>
      <c r="K359" s="105">
        <f t="shared" si="287"/>
        <v>2271.9366000000005</v>
      </c>
      <c r="L359" s="105">
        <f t="shared" si="287"/>
        <v>3029.2487999999998</v>
      </c>
      <c r="M359" s="105">
        <f t="shared" si="287"/>
        <v>3029.2487999999998</v>
      </c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13.5" customHeight="1" x14ac:dyDescent="0.3">
      <c r="A360" s="43"/>
      <c r="B360" s="43"/>
      <c r="C360" s="43"/>
      <c r="D360" s="43"/>
      <c r="E360" s="44"/>
      <c r="F360" s="45"/>
      <c r="G360" s="45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3.5" customHeight="1" x14ac:dyDescent="0.3">
      <c r="A361" s="47" t="s">
        <v>260</v>
      </c>
      <c r="B361" s="47"/>
      <c r="C361" s="47"/>
      <c r="D361" s="51" t="s">
        <v>261</v>
      </c>
      <c r="E361" s="51" t="s">
        <v>262</v>
      </c>
      <c r="F361" s="51" t="s">
        <v>253</v>
      </c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3.5" customHeight="1" x14ac:dyDescent="0.3">
      <c r="A362" s="43" t="str">
        <f t="shared" ref="A362:A368" si="288">A352</f>
        <v>IMPIANTI CONTO TERZI SEQUESTRO C02 IN ITALIA</v>
      </c>
      <c r="B362" s="43"/>
      <c r="C362" s="43"/>
      <c r="D362" s="78">
        <f t="shared" ref="D362:D368" si="289">D342-D352</f>
        <v>821.7</v>
      </c>
      <c r="E362" s="80">
        <f t="shared" ref="E362:E368" si="290">D362/D342</f>
        <v>0.52380952380952384</v>
      </c>
      <c r="F362" s="45">
        <f t="shared" ref="F362:F369" si="291">SUM(H362:L362)</f>
        <v>8463.510000000002</v>
      </c>
      <c r="G362" s="45"/>
      <c r="H362" s="46">
        <f t="shared" ref="H362:M362" si="292">H342-H352</f>
        <v>246.51000000000002</v>
      </c>
      <c r="I362" s="46">
        <f t="shared" si="292"/>
        <v>821.7</v>
      </c>
      <c r="J362" s="46">
        <f t="shared" si="292"/>
        <v>1643.4</v>
      </c>
      <c r="K362" s="46">
        <f t="shared" si="292"/>
        <v>2465.1000000000004</v>
      </c>
      <c r="L362" s="46">
        <f t="shared" si="292"/>
        <v>3286.8</v>
      </c>
      <c r="M362" s="46">
        <f t="shared" si="292"/>
        <v>3286.8</v>
      </c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3.5" customHeight="1" x14ac:dyDescent="0.3">
      <c r="A363" s="43" t="str">
        <f t="shared" si="288"/>
        <v>GRANDI IMPIANTI SEQUESTRO C02 ESTERO</v>
      </c>
      <c r="B363" s="43"/>
      <c r="C363" s="43"/>
      <c r="D363" s="78">
        <f t="shared" si="289"/>
        <v>2988.6000000000004</v>
      </c>
      <c r="E363" s="80">
        <f t="shared" si="290"/>
        <v>0.62962962962962965</v>
      </c>
      <c r="F363" s="45">
        <f t="shared" si="291"/>
        <v>0</v>
      </c>
      <c r="G363" s="45"/>
      <c r="H363" s="46">
        <f t="shared" ref="H363:M363" si="293">H343-H353</f>
        <v>0</v>
      </c>
      <c r="I363" s="46">
        <f t="shared" si="293"/>
        <v>0</v>
      </c>
      <c r="J363" s="46">
        <f t="shared" si="293"/>
        <v>0</v>
      </c>
      <c r="K363" s="46">
        <f t="shared" si="293"/>
        <v>0</v>
      </c>
      <c r="L363" s="46">
        <f t="shared" si="293"/>
        <v>0</v>
      </c>
      <c r="M363" s="46">
        <f t="shared" si="293"/>
        <v>0</v>
      </c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3.5" customHeight="1" x14ac:dyDescent="0.3">
      <c r="A364" s="43" t="str">
        <f t="shared" si="288"/>
        <v>IMPIANTI SPECIALI</v>
      </c>
      <c r="B364" s="43"/>
      <c r="C364" s="43"/>
      <c r="D364" s="78">
        <f t="shared" si="289"/>
        <v>12500</v>
      </c>
      <c r="E364" s="80">
        <f t="shared" si="290"/>
        <v>0.38461538461538464</v>
      </c>
      <c r="F364" s="45">
        <f t="shared" si="291"/>
        <v>0</v>
      </c>
      <c r="G364" s="45"/>
      <c r="H364" s="46">
        <f t="shared" ref="H364:M364" si="294">H344-H354</f>
        <v>0</v>
      </c>
      <c r="I364" s="46">
        <f t="shared" si="294"/>
        <v>0</v>
      </c>
      <c r="J364" s="46">
        <f t="shared" si="294"/>
        <v>0</v>
      </c>
      <c r="K364" s="46">
        <f t="shared" si="294"/>
        <v>0</v>
      </c>
      <c r="L364" s="46">
        <f t="shared" si="294"/>
        <v>0</v>
      </c>
      <c r="M364" s="46">
        <f t="shared" si="294"/>
        <v>0</v>
      </c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3.5" customHeight="1" x14ac:dyDescent="0.3">
      <c r="A365" s="43" t="str">
        <f t="shared" si="288"/>
        <v>Consulenza e progettazione pre-vendita</v>
      </c>
      <c r="B365" s="43"/>
      <c r="C365" s="43"/>
      <c r="D365" s="78">
        <f t="shared" si="289"/>
        <v>5.7</v>
      </c>
      <c r="E365" s="80">
        <f t="shared" si="290"/>
        <v>0.87692307692307692</v>
      </c>
      <c r="F365" s="45">
        <f t="shared" si="291"/>
        <v>58.710000000000008</v>
      </c>
      <c r="G365" s="45"/>
      <c r="H365" s="46">
        <f t="shared" ref="H365:M365" si="295">H345-H355</f>
        <v>1.71</v>
      </c>
      <c r="I365" s="46">
        <f t="shared" si="295"/>
        <v>5.7</v>
      </c>
      <c r="J365" s="46">
        <f t="shared" si="295"/>
        <v>11.4</v>
      </c>
      <c r="K365" s="46">
        <f t="shared" si="295"/>
        <v>17.100000000000001</v>
      </c>
      <c r="L365" s="46">
        <f t="shared" si="295"/>
        <v>22.8</v>
      </c>
      <c r="M365" s="46">
        <f t="shared" si="295"/>
        <v>22.8</v>
      </c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3.5" customHeight="1" x14ac:dyDescent="0.3">
      <c r="A366" s="43" t="str">
        <f t="shared" si="288"/>
        <v>Consulenza post-vendita impianto</v>
      </c>
      <c r="B366" s="43"/>
      <c r="C366" s="43"/>
      <c r="D366" s="78">
        <f t="shared" si="289"/>
        <v>0.24999999999999997</v>
      </c>
      <c r="E366" s="80">
        <f t="shared" si="290"/>
        <v>0.7142857142857143</v>
      </c>
      <c r="F366" s="45">
        <f t="shared" si="291"/>
        <v>2.5749999999999997</v>
      </c>
      <c r="G366" s="45"/>
      <c r="H366" s="46">
        <f t="shared" ref="H366:M366" si="296">H346-H356</f>
        <v>7.4999999999999997E-2</v>
      </c>
      <c r="I366" s="46">
        <f t="shared" si="296"/>
        <v>0.24999999999999997</v>
      </c>
      <c r="J366" s="46">
        <f t="shared" si="296"/>
        <v>0.49999999999999994</v>
      </c>
      <c r="K366" s="46">
        <f t="shared" si="296"/>
        <v>0.74999999999999978</v>
      </c>
      <c r="L366" s="46">
        <f t="shared" si="296"/>
        <v>0.99999999999999989</v>
      </c>
      <c r="M366" s="46">
        <f t="shared" si="296"/>
        <v>0.99999999999999989</v>
      </c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3.5" customHeight="1" x14ac:dyDescent="0.3">
      <c r="A367" s="43" t="str">
        <f t="shared" si="288"/>
        <v>Consulenza e Manutenzione impianti</v>
      </c>
      <c r="B367" s="43"/>
      <c r="C367" s="43"/>
      <c r="D367" s="78">
        <f t="shared" si="289"/>
        <v>53.335799999999999</v>
      </c>
      <c r="E367" s="80">
        <f t="shared" si="290"/>
        <v>0.85</v>
      </c>
      <c r="F367" s="45">
        <f t="shared" si="291"/>
        <v>549.35874000000001</v>
      </c>
      <c r="G367" s="45"/>
      <c r="H367" s="46">
        <f t="shared" ref="H367:M367" si="297">H347-H357</f>
        <v>16.000739999999997</v>
      </c>
      <c r="I367" s="46">
        <f t="shared" si="297"/>
        <v>53.335799999999999</v>
      </c>
      <c r="J367" s="46">
        <f t="shared" si="297"/>
        <v>106.6716</v>
      </c>
      <c r="K367" s="46">
        <f t="shared" si="297"/>
        <v>160.00739999999999</v>
      </c>
      <c r="L367" s="46">
        <f t="shared" si="297"/>
        <v>213.3432</v>
      </c>
      <c r="M367" s="46">
        <f t="shared" si="297"/>
        <v>213.3432</v>
      </c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3.5" customHeight="1" x14ac:dyDescent="0.3">
      <c r="A368" s="43" t="str">
        <f t="shared" si="288"/>
        <v>PROGETTAZIONE IMPIANTI SPECIALI</v>
      </c>
      <c r="B368" s="43"/>
      <c r="C368" s="43"/>
      <c r="D368" s="78">
        <f t="shared" si="289"/>
        <v>780</v>
      </c>
      <c r="E368" s="80">
        <f t="shared" si="290"/>
        <v>0.8</v>
      </c>
      <c r="F368" s="45">
        <f t="shared" si="291"/>
        <v>0</v>
      </c>
      <c r="G368" s="45"/>
      <c r="H368" s="46">
        <f t="shared" ref="H368:M368" si="298">H348-H358</f>
        <v>0</v>
      </c>
      <c r="I368" s="46">
        <f t="shared" si="298"/>
        <v>0</v>
      </c>
      <c r="J368" s="46">
        <f t="shared" si="298"/>
        <v>0</v>
      </c>
      <c r="K368" s="46">
        <f t="shared" si="298"/>
        <v>0</v>
      </c>
      <c r="L368" s="46">
        <f t="shared" si="298"/>
        <v>0</v>
      </c>
      <c r="M368" s="46">
        <f t="shared" si="298"/>
        <v>0</v>
      </c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3.5" customHeight="1" x14ac:dyDescent="0.3">
      <c r="A369" s="47" t="s">
        <v>263</v>
      </c>
      <c r="B369" s="89"/>
      <c r="C369" s="89"/>
      <c r="D369" s="89"/>
      <c r="E369" s="106"/>
      <c r="F369" s="51">
        <f t="shared" si="291"/>
        <v>9074.1537399999997</v>
      </c>
      <c r="G369" s="51"/>
      <c r="H369" s="51">
        <f t="shared" ref="H369:M369" si="299">SUM(H362:H368)</f>
        <v>264.29574000000002</v>
      </c>
      <c r="I369" s="51">
        <f t="shared" si="299"/>
        <v>880.98580000000004</v>
      </c>
      <c r="J369" s="51">
        <f t="shared" si="299"/>
        <v>1761.9716000000001</v>
      </c>
      <c r="K369" s="51">
        <f t="shared" si="299"/>
        <v>2642.9574000000002</v>
      </c>
      <c r="L369" s="51">
        <f t="shared" si="299"/>
        <v>3523.9432000000002</v>
      </c>
      <c r="M369" s="51">
        <f t="shared" si="299"/>
        <v>3523.9432000000002</v>
      </c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13.5" customHeight="1" x14ac:dyDescent="0.3">
      <c r="A370" s="43" t="s">
        <v>264</v>
      </c>
      <c r="B370" s="43"/>
      <c r="C370" s="43"/>
      <c r="D370" s="43"/>
      <c r="E370" s="44"/>
      <c r="F370" s="107">
        <f>F369/F349</f>
        <v>0.53774453731860739</v>
      </c>
      <c r="G370" s="107"/>
      <c r="H370" s="80">
        <f t="shared" ref="H370:M370" si="300">H369/H349</f>
        <v>0.5377445373186075</v>
      </c>
      <c r="I370" s="80">
        <f t="shared" si="300"/>
        <v>0.5377445373186075</v>
      </c>
      <c r="J370" s="80">
        <f t="shared" si="300"/>
        <v>0.5377445373186075</v>
      </c>
      <c r="K370" s="80">
        <f t="shared" si="300"/>
        <v>0.5377445373186075</v>
      </c>
      <c r="L370" s="80">
        <f t="shared" si="300"/>
        <v>0.5377445373186075</v>
      </c>
      <c r="M370" s="80">
        <f t="shared" si="300"/>
        <v>0.5377445373186075</v>
      </c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3.5" customHeight="1" x14ac:dyDescent="0.3">
      <c r="A371" s="43"/>
      <c r="B371" s="43"/>
      <c r="C371" s="43"/>
      <c r="D371" s="43"/>
      <c r="E371" s="44"/>
      <c r="F371" s="45"/>
      <c r="G371" s="45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3.5" customHeight="1" x14ac:dyDescent="0.3">
      <c r="A372" s="43"/>
      <c r="B372" s="43"/>
      <c r="C372" s="43"/>
      <c r="D372" s="43"/>
      <c r="E372" s="50"/>
      <c r="F372" s="46"/>
      <c r="G372" s="46"/>
      <c r="H372" s="46"/>
      <c r="I372" s="46"/>
      <c r="J372" s="80"/>
      <c r="K372" s="43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3.5" customHeight="1" x14ac:dyDescent="0.3">
      <c r="A373" s="43"/>
      <c r="B373" s="43"/>
      <c r="C373" s="43"/>
      <c r="D373" s="43"/>
      <c r="E373" s="44"/>
      <c r="F373" s="45"/>
      <c r="G373" s="45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3.5" customHeight="1" x14ac:dyDescent="0.3">
      <c r="A374" s="94"/>
      <c r="B374" s="94"/>
      <c r="C374" s="94"/>
      <c r="D374" s="94"/>
      <c r="E374" s="95"/>
      <c r="F374" s="96"/>
      <c r="G374" s="96"/>
      <c r="H374" s="95"/>
      <c r="I374" s="95"/>
      <c r="J374" s="95"/>
      <c r="K374" s="95"/>
      <c r="L374" s="95"/>
      <c r="M374" s="95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3.5" customHeight="1" x14ac:dyDescent="0.3">
      <c r="A375" s="43"/>
      <c r="B375" s="43"/>
      <c r="C375" s="43"/>
      <c r="D375" s="43"/>
      <c r="E375" s="44"/>
      <c r="F375" s="45"/>
      <c r="G375" s="45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3.5" customHeight="1" x14ac:dyDescent="0.3">
      <c r="A376" s="64" t="s">
        <v>265</v>
      </c>
      <c r="B376" s="65"/>
      <c r="C376" s="65"/>
      <c r="D376" s="65"/>
      <c r="E376" s="66"/>
      <c r="F376" s="67"/>
      <c r="G376" s="67"/>
      <c r="H376" s="66"/>
      <c r="I376" s="66"/>
      <c r="J376" s="66"/>
      <c r="K376" s="66"/>
      <c r="L376" s="66"/>
      <c r="M376" s="66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3.5" customHeight="1" x14ac:dyDescent="0.3">
      <c r="A377" s="35"/>
      <c r="B377" s="35"/>
      <c r="C377" s="35"/>
      <c r="D377" s="35"/>
      <c r="E377" s="36"/>
      <c r="F377" s="36" t="s">
        <v>163</v>
      </c>
      <c r="G377" s="36"/>
      <c r="H377" s="37" t="s">
        <v>81</v>
      </c>
      <c r="I377" s="37" t="s">
        <v>82</v>
      </c>
      <c r="J377" s="37" t="s">
        <v>83</v>
      </c>
      <c r="K377" s="37" t="s">
        <v>84</v>
      </c>
      <c r="L377" s="37" t="s">
        <v>85</v>
      </c>
      <c r="M377" s="37" t="s">
        <v>86</v>
      </c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3.5" customHeight="1" x14ac:dyDescent="0.3">
      <c r="A378" s="40" t="s">
        <v>266</v>
      </c>
      <c r="B378" s="68"/>
      <c r="C378" s="68"/>
      <c r="D378" s="40" t="s">
        <v>89</v>
      </c>
      <c r="E378" s="39" t="s">
        <v>115</v>
      </c>
      <c r="F378" s="39" t="s">
        <v>142</v>
      </c>
      <c r="G378" s="39"/>
      <c r="H378" s="57">
        <f t="shared" ref="H378:M378" si="301">H$58</f>
        <v>2022</v>
      </c>
      <c r="I378" s="57">
        <f t="shared" si="301"/>
        <v>2023</v>
      </c>
      <c r="J378" s="57">
        <f t="shared" si="301"/>
        <v>2024</v>
      </c>
      <c r="K378" s="57">
        <f t="shared" si="301"/>
        <v>2025</v>
      </c>
      <c r="L378" s="57">
        <f t="shared" si="301"/>
        <v>2026</v>
      </c>
      <c r="M378" s="57">
        <f t="shared" si="301"/>
        <v>2027</v>
      </c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3.5" customHeight="1" x14ac:dyDescent="0.3">
      <c r="A379" s="43"/>
      <c r="B379" s="43"/>
      <c r="C379" s="43"/>
      <c r="D379" s="43"/>
      <c r="E379" s="44"/>
      <c r="F379" s="45"/>
      <c r="G379" s="45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3.5" customHeight="1" x14ac:dyDescent="0.3">
      <c r="A380" s="108" t="s">
        <v>267</v>
      </c>
      <c r="B380" s="109" t="s">
        <v>268</v>
      </c>
      <c r="C380" s="109"/>
      <c r="D380" s="110"/>
      <c r="E380" s="110"/>
      <c r="F380" s="110"/>
      <c r="G380" s="110"/>
      <c r="H380" s="110"/>
      <c r="I380" s="110"/>
      <c r="J380" s="110"/>
      <c r="K380" s="110"/>
      <c r="L380" s="110"/>
      <c r="M380" s="111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3.5" customHeight="1" x14ac:dyDescent="0.3">
      <c r="A381" s="112" t="s">
        <v>269</v>
      </c>
      <c r="B381" s="43"/>
      <c r="C381" s="113"/>
      <c r="D381" s="43" t="s">
        <v>108</v>
      </c>
      <c r="E381" s="50">
        <v>0.5</v>
      </c>
      <c r="F381" s="45"/>
      <c r="G381" s="45"/>
      <c r="H381" s="80">
        <f t="shared" ref="H381:H383" si="302">E381</f>
        <v>0.5</v>
      </c>
      <c r="I381" s="80">
        <f t="shared" ref="I381:M381" si="303">H381</f>
        <v>0.5</v>
      </c>
      <c r="J381" s="80">
        <f t="shared" si="303"/>
        <v>0.5</v>
      </c>
      <c r="K381" s="80">
        <f t="shared" si="303"/>
        <v>0.5</v>
      </c>
      <c r="L381" s="80">
        <f t="shared" si="303"/>
        <v>0.5</v>
      </c>
      <c r="M381" s="114">
        <f t="shared" si="303"/>
        <v>0.5</v>
      </c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3.5" customHeight="1" x14ac:dyDescent="0.3">
      <c r="A382" s="112" t="s">
        <v>270</v>
      </c>
      <c r="B382" s="43"/>
      <c r="C382" s="43"/>
      <c r="D382" s="43" t="s">
        <v>108</v>
      </c>
      <c r="E382" s="50">
        <f>1/13.5</f>
        <v>7.407407407407407E-2</v>
      </c>
      <c r="F382" s="45"/>
      <c r="G382" s="45"/>
      <c r="H382" s="80">
        <f t="shared" si="302"/>
        <v>7.407407407407407E-2</v>
      </c>
      <c r="I382" s="80">
        <f t="shared" ref="I382:M382" si="304">H382</f>
        <v>7.407407407407407E-2</v>
      </c>
      <c r="J382" s="80">
        <f t="shared" si="304"/>
        <v>7.407407407407407E-2</v>
      </c>
      <c r="K382" s="80">
        <f t="shared" si="304"/>
        <v>7.407407407407407E-2</v>
      </c>
      <c r="L382" s="80">
        <f t="shared" si="304"/>
        <v>7.407407407407407E-2</v>
      </c>
      <c r="M382" s="114">
        <f t="shared" si="304"/>
        <v>7.407407407407407E-2</v>
      </c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3.5" customHeight="1" x14ac:dyDescent="0.3">
      <c r="A383" s="112" t="s">
        <v>271</v>
      </c>
      <c r="B383" s="43"/>
      <c r="C383" s="43"/>
      <c r="D383" s="43" t="s">
        <v>108</v>
      </c>
      <c r="E383" s="50">
        <v>0.8</v>
      </c>
      <c r="F383" s="45"/>
      <c r="G383" s="45"/>
      <c r="H383" s="80">
        <f t="shared" si="302"/>
        <v>0.8</v>
      </c>
      <c r="I383" s="80">
        <f t="shared" ref="I383:M383" si="305">H383</f>
        <v>0.8</v>
      </c>
      <c r="J383" s="80">
        <f t="shared" si="305"/>
        <v>0.8</v>
      </c>
      <c r="K383" s="80">
        <f t="shared" si="305"/>
        <v>0.8</v>
      </c>
      <c r="L383" s="80">
        <f t="shared" si="305"/>
        <v>0.8</v>
      </c>
      <c r="M383" s="114">
        <f t="shared" si="305"/>
        <v>0.8</v>
      </c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3.5" customHeight="1" x14ac:dyDescent="0.3">
      <c r="A384" s="112" t="s">
        <v>272</v>
      </c>
      <c r="B384" s="43"/>
      <c r="C384" s="43"/>
      <c r="D384" s="43" t="s">
        <v>119</v>
      </c>
      <c r="E384" s="88">
        <f>1750*12</f>
        <v>21000</v>
      </c>
      <c r="F384" s="45"/>
      <c r="G384" s="45"/>
      <c r="H384" s="46">
        <f t="shared" ref="H384:M384" si="306">FVSCHEDULE($E384,$H412:H412)</f>
        <v>21000</v>
      </c>
      <c r="I384" s="46">
        <f t="shared" si="306"/>
        <v>21420</v>
      </c>
      <c r="J384" s="46">
        <f t="shared" si="306"/>
        <v>21848.400000000001</v>
      </c>
      <c r="K384" s="46">
        <f t="shared" si="306"/>
        <v>22285.368000000002</v>
      </c>
      <c r="L384" s="46">
        <f t="shared" si="306"/>
        <v>22731.075360000003</v>
      </c>
      <c r="M384" s="115">
        <f t="shared" si="306"/>
        <v>23185.696867200004</v>
      </c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3.5" customHeight="1" x14ac:dyDescent="0.3">
      <c r="A385" s="112" t="s">
        <v>273</v>
      </c>
      <c r="B385" s="43"/>
      <c r="C385" s="43"/>
      <c r="D385" s="43" t="s">
        <v>119</v>
      </c>
      <c r="E385" s="46">
        <f>E384*E383</f>
        <v>16800</v>
      </c>
      <c r="F385" s="45"/>
      <c r="G385" s="45"/>
      <c r="H385" s="46">
        <f t="shared" ref="H385:M385" si="307">H384*H383</f>
        <v>16800</v>
      </c>
      <c r="I385" s="46">
        <f t="shared" si="307"/>
        <v>17136</v>
      </c>
      <c r="J385" s="46">
        <f t="shared" si="307"/>
        <v>17478.72</v>
      </c>
      <c r="K385" s="46">
        <f t="shared" si="307"/>
        <v>17828.294400000002</v>
      </c>
      <c r="L385" s="46">
        <f t="shared" si="307"/>
        <v>18184.860288000003</v>
      </c>
      <c r="M385" s="115">
        <f t="shared" si="307"/>
        <v>18548.557493760003</v>
      </c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3.5" customHeight="1" x14ac:dyDescent="0.3">
      <c r="A386" s="112" t="s">
        <v>274</v>
      </c>
      <c r="B386" s="43"/>
      <c r="C386" s="43"/>
      <c r="D386" s="43" t="s">
        <v>119</v>
      </c>
      <c r="E386" s="46">
        <f>E384*(1+E381+E382)</f>
        <v>33055.555555555555</v>
      </c>
      <c r="F386" s="116"/>
      <c r="G386" s="116"/>
      <c r="H386" s="46">
        <f t="shared" ref="H386:M386" si="308">H384*(1+H381+H382)</f>
        <v>33055.555555555555</v>
      </c>
      <c r="I386" s="46">
        <f t="shared" si="308"/>
        <v>33716.666666666664</v>
      </c>
      <c r="J386" s="46">
        <f t="shared" si="308"/>
        <v>34391</v>
      </c>
      <c r="K386" s="46">
        <f t="shared" si="308"/>
        <v>35078.82</v>
      </c>
      <c r="L386" s="46">
        <f t="shared" si="308"/>
        <v>35780.396399999998</v>
      </c>
      <c r="M386" s="115">
        <f t="shared" si="308"/>
        <v>36496.004328000003</v>
      </c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3.5" customHeight="1" x14ac:dyDescent="0.3">
      <c r="A387" s="117" t="s">
        <v>275</v>
      </c>
      <c r="B387" s="118"/>
      <c r="C387" s="118"/>
      <c r="D387" s="118" t="s">
        <v>119</v>
      </c>
      <c r="E387" s="119">
        <f t="shared" ref="E387:E388" si="309">E384/13</f>
        <v>1615.3846153846155</v>
      </c>
      <c r="F387" s="120"/>
      <c r="G387" s="120"/>
      <c r="H387" s="119">
        <f t="shared" ref="H387:M387" si="310">H384/13</f>
        <v>1615.3846153846155</v>
      </c>
      <c r="I387" s="119">
        <f t="shared" si="310"/>
        <v>1647.6923076923076</v>
      </c>
      <c r="J387" s="119">
        <f t="shared" si="310"/>
        <v>1680.646153846154</v>
      </c>
      <c r="K387" s="119">
        <f t="shared" si="310"/>
        <v>1714.2590769230771</v>
      </c>
      <c r="L387" s="119">
        <f t="shared" si="310"/>
        <v>1748.5442584615387</v>
      </c>
      <c r="M387" s="121">
        <f t="shared" si="310"/>
        <v>1783.5151436307694</v>
      </c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</row>
    <row r="388" spans="1:26" ht="13.5" customHeight="1" x14ac:dyDescent="0.3">
      <c r="A388" s="123" t="s">
        <v>276</v>
      </c>
      <c r="B388" s="124"/>
      <c r="C388" s="124"/>
      <c r="D388" s="124" t="s">
        <v>119</v>
      </c>
      <c r="E388" s="125">
        <f t="shared" si="309"/>
        <v>1292.3076923076924</v>
      </c>
      <c r="F388" s="126"/>
      <c r="G388" s="126"/>
      <c r="H388" s="125">
        <f t="shared" ref="H388:M388" si="311">H385/13</f>
        <v>1292.3076923076924</v>
      </c>
      <c r="I388" s="125">
        <f t="shared" si="311"/>
        <v>1318.1538461538462</v>
      </c>
      <c r="J388" s="125">
        <f t="shared" si="311"/>
        <v>1344.5169230769231</v>
      </c>
      <c r="K388" s="125">
        <f t="shared" si="311"/>
        <v>1371.4072615384616</v>
      </c>
      <c r="L388" s="125">
        <f t="shared" si="311"/>
        <v>1398.835406769231</v>
      </c>
      <c r="M388" s="127">
        <f t="shared" si="311"/>
        <v>1426.8121149046156</v>
      </c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</row>
    <row r="389" spans="1:26" ht="13.5" customHeight="1" x14ac:dyDescent="0.3">
      <c r="A389" s="43"/>
      <c r="B389" s="43"/>
      <c r="C389" s="43"/>
      <c r="D389" s="43"/>
      <c r="E389" s="44"/>
      <c r="F389" s="45"/>
      <c r="G389" s="45"/>
      <c r="H389" s="128"/>
      <c r="I389" s="128"/>
      <c r="J389" s="128"/>
      <c r="K389" s="128"/>
      <c r="L389" s="128"/>
      <c r="M389" s="128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3.5" customHeight="1" x14ac:dyDescent="0.3">
      <c r="A390" s="63" t="s">
        <v>277</v>
      </c>
      <c r="B390" s="43"/>
      <c r="C390" s="43"/>
      <c r="D390" s="43"/>
      <c r="E390" s="77" t="s">
        <v>278</v>
      </c>
      <c r="F390" s="45"/>
      <c r="G390" s="45"/>
      <c r="H390" s="129"/>
      <c r="I390" s="129"/>
      <c r="J390" s="129"/>
      <c r="K390" s="129"/>
      <c r="L390" s="129"/>
      <c r="M390" s="129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3.5" customHeight="1" x14ac:dyDescent="0.3">
      <c r="A391" s="43" t="s">
        <v>279</v>
      </c>
      <c r="B391" s="130">
        <f t="shared" ref="B391:B393" si="312">E391/12</f>
        <v>7</v>
      </c>
      <c r="C391" s="43"/>
      <c r="D391" s="43" t="s">
        <v>155</v>
      </c>
      <c r="E391" s="131">
        <v>84</v>
      </c>
      <c r="F391" s="45"/>
      <c r="G391" s="45"/>
      <c r="H391" s="131">
        <v>0.4</v>
      </c>
      <c r="I391" s="131">
        <v>1</v>
      </c>
      <c r="J391" s="131">
        <v>1</v>
      </c>
      <c r="K391" s="131">
        <v>1</v>
      </c>
      <c r="L391" s="131">
        <v>1</v>
      </c>
      <c r="M391" s="131">
        <v>1</v>
      </c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3.5" customHeight="1" x14ac:dyDescent="0.3">
      <c r="A392" s="43" t="s">
        <v>280</v>
      </c>
      <c r="B392" s="130">
        <f t="shared" si="312"/>
        <v>7</v>
      </c>
      <c r="C392" s="43"/>
      <c r="D392" s="43" t="s">
        <v>155</v>
      </c>
      <c r="E392" s="131">
        <v>84</v>
      </c>
      <c r="F392" s="45"/>
      <c r="G392" s="45"/>
      <c r="H392" s="131">
        <v>0.3</v>
      </c>
      <c r="I392" s="131">
        <v>1</v>
      </c>
      <c r="J392" s="131">
        <v>1</v>
      </c>
      <c r="K392" s="131">
        <v>1</v>
      </c>
      <c r="L392" s="131">
        <v>1</v>
      </c>
      <c r="M392" s="131">
        <v>1</v>
      </c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3.5" customHeight="1" x14ac:dyDescent="0.3">
      <c r="A393" s="43" t="s">
        <v>281</v>
      </c>
      <c r="B393" s="130">
        <f t="shared" si="312"/>
        <v>5</v>
      </c>
      <c r="C393" s="43"/>
      <c r="D393" s="43" t="s">
        <v>155</v>
      </c>
      <c r="E393" s="131">
        <v>60</v>
      </c>
      <c r="F393" s="45"/>
      <c r="G393" s="45"/>
      <c r="H393" s="131">
        <v>0.5</v>
      </c>
      <c r="I393" s="131">
        <v>1</v>
      </c>
      <c r="J393" s="131">
        <v>1</v>
      </c>
      <c r="K393" s="131">
        <v>1</v>
      </c>
      <c r="L393" s="131">
        <v>1</v>
      </c>
      <c r="M393" s="131">
        <v>1</v>
      </c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3.5" customHeight="1" x14ac:dyDescent="0.3">
      <c r="A394" s="63" t="s">
        <v>282</v>
      </c>
      <c r="B394" s="43"/>
      <c r="C394" s="43"/>
      <c r="D394" s="43"/>
      <c r="E394" s="131"/>
      <c r="F394" s="45"/>
      <c r="G394" s="45"/>
      <c r="H394" s="131"/>
      <c r="I394" s="131"/>
      <c r="J394" s="131"/>
      <c r="K394" s="131"/>
      <c r="L394" s="131"/>
      <c r="M394" s="131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3.5" customHeight="1" x14ac:dyDescent="0.3">
      <c r="A395" s="43" t="s">
        <v>283</v>
      </c>
      <c r="B395" s="130">
        <f>E395/12</f>
        <v>5</v>
      </c>
      <c r="C395" s="43"/>
      <c r="D395" s="43" t="s">
        <v>155</v>
      </c>
      <c r="E395" s="131">
        <v>60</v>
      </c>
      <c r="F395" s="45"/>
      <c r="G395" s="45"/>
      <c r="H395" s="131">
        <v>0.4</v>
      </c>
      <c r="I395" s="131">
        <v>1</v>
      </c>
      <c r="J395" s="131">
        <v>1</v>
      </c>
      <c r="K395" s="131">
        <v>2</v>
      </c>
      <c r="L395" s="131">
        <v>2</v>
      </c>
      <c r="M395" s="131">
        <v>3</v>
      </c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3.5" customHeight="1" x14ac:dyDescent="0.3">
      <c r="A396" s="43" t="s">
        <v>284</v>
      </c>
      <c r="B396" s="43"/>
      <c r="C396" s="43"/>
      <c r="D396" s="43" t="s">
        <v>155</v>
      </c>
      <c r="E396" s="131">
        <v>24</v>
      </c>
      <c r="F396" s="45"/>
      <c r="G396" s="45"/>
      <c r="H396" s="131"/>
      <c r="I396" s="131">
        <v>1</v>
      </c>
      <c r="J396" s="131">
        <v>1</v>
      </c>
      <c r="K396" s="131">
        <v>1</v>
      </c>
      <c r="L396" s="131">
        <v>1</v>
      </c>
      <c r="M396" s="131">
        <v>1</v>
      </c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3.5" customHeight="1" x14ac:dyDescent="0.3">
      <c r="A397" s="43" t="s">
        <v>285</v>
      </c>
      <c r="B397" s="43"/>
      <c r="C397" s="43"/>
      <c r="D397" s="43" t="s">
        <v>155</v>
      </c>
      <c r="E397" s="131">
        <v>24</v>
      </c>
      <c r="F397" s="45"/>
      <c r="G397" s="45"/>
      <c r="H397" s="131">
        <v>0.5</v>
      </c>
      <c r="I397" s="131">
        <v>1</v>
      </c>
      <c r="J397" s="131">
        <v>2</v>
      </c>
      <c r="K397" s="131">
        <v>3</v>
      </c>
      <c r="L397" s="131">
        <v>4</v>
      </c>
      <c r="M397" s="131">
        <v>4</v>
      </c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3.5" customHeight="1" x14ac:dyDescent="0.3">
      <c r="A398" s="43" t="s">
        <v>286</v>
      </c>
      <c r="B398" s="43"/>
      <c r="C398" s="43"/>
      <c r="D398" s="43" t="s">
        <v>155</v>
      </c>
      <c r="E398" s="131">
        <v>33</v>
      </c>
      <c r="F398" s="45"/>
      <c r="G398" s="45"/>
      <c r="H398" s="131">
        <v>1</v>
      </c>
      <c r="I398" s="131">
        <v>1</v>
      </c>
      <c r="J398" s="131">
        <v>1</v>
      </c>
      <c r="K398" s="131">
        <v>4</v>
      </c>
      <c r="L398" s="131">
        <v>5</v>
      </c>
      <c r="M398" s="131">
        <v>5</v>
      </c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3.5" customHeight="1" x14ac:dyDescent="0.3">
      <c r="A399" s="43" t="s">
        <v>287</v>
      </c>
      <c r="B399" s="43"/>
      <c r="C399" s="43"/>
      <c r="D399" s="43" t="s">
        <v>155</v>
      </c>
      <c r="E399" s="131">
        <v>24</v>
      </c>
      <c r="F399" s="45"/>
      <c r="G399" s="45"/>
      <c r="H399" s="131"/>
      <c r="I399" s="131">
        <v>2</v>
      </c>
      <c r="J399" s="131">
        <v>3</v>
      </c>
      <c r="K399" s="131">
        <v>4</v>
      </c>
      <c r="L399" s="131">
        <v>5</v>
      </c>
      <c r="M399" s="131">
        <v>5</v>
      </c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3.5" customHeight="1" x14ac:dyDescent="0.3">
      <c r="A400" s="43" t="s">
        <v>288</v>
      </c>
      <c r="B400" s="43"/>
      <c r="C400" s="43"/>
      <c r="D400" s="43" t="s">
        <v>155</v>
      </c>
      <c r="E400" s="131">
        <v>40</v>
      </c>
      <c r="F400" s="45"/>
      <c r="G400" s="45"/>
      <c r="H400" s="131"/>
      <c r="I400" s="131">
        <v>1</v>
      </c>
      <c r="J400" s="131">
        <v>1</v>
      </c>
      <c r="K400" s="131">
        <v>1</v>
      </c>
      <c r="L400" s="131">
        <v>1</v>
      </c>
      <c r="M400" s="131">
        <v>1</v>
      </c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3.5" customHeight="1" x14ac:dyDescent="0.3">
      <c r="A401" s="43" t="s">
        <v>289</v>
      </c>
      <c r="B401" s="130">
        <f>E401/12</f>
        <v>3</v>
      </c>
      <c r="C401" s="43"/>
      <c r="D401" s="43" t="s">
        <v>155</v>
      </c>
      <c r="E401" s="131">
        <f>3*12</f>
        <v>36</v>
      </c>
      <c r="F401" s="45"/>
      <c r="G401" s="45"/>
      <c r="H401" s="131">
        <f>0.4</f>
        <v>0.4</v>
      </c>
      <c r="I401" s="131">
        <v>1</v>
      </c>
      <c r="J401" s="131">
        <v>1</v>
      </c>
      <c r="K401" s="131">
        <v>1</v>
      </c>
      <c r="L401" s="131">
        <v>1</v>
      </c>
      <c r="M401" s="131">
        <v>1</v>
      </c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3.5" customHeight="1" x14ac:dyDescent="0.3">
      <c r="A402" s="43" t="s">
        <v>290</v>
      </c>
      <c r="B402" s="43"/>
      <c r="C402" s="43"/>
      <c r="D402" s="43" t="s">
        <v>155</v>
      </c>
      <c r="E402" s="131">
        <v>24</v>
      </c>
      <c r="F402" s="45"/>
      <c r="G402" s="45"/>
      <c r="H402" s="131">
        <v>0.6</v>
      </c>
      <c r="I402" s="131">
        <v>1</v>
      </c>
      <c r="J402" s="131">
        <v>2</v>
      </c>
      <c r="K402" s="131">
        <v>3</v>
      </c>
      <c r="L402" s="131">
        <v>4</v>
      </c>
      <c r="M402" s="131">
        <v>5</v>
      </c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3.5" customHeight="1" x14ac:dyDescent="0.3">
      <c r="A403" s="43" t="s">
        <v>291</v>
      </c>
      <c r="B403" s="43"/>
      <c r="C403" s="43"/>
      <c r="D403" s="43" t="s">
        <v>155</v>
      </c>
      <c r="E403" s="131">
        <v>40</v>
      </c>
      <c r="F403" s="45"/>
      <c r="G403" s="45"/>
      <c r="H403" s="131">
        <v>0.2</v>
      </c>
      <c r="I403" s="131">
        <v>1</v>
      </c>
      <c r="J403" s="131">
        <v>1</v>
      </c>
      <c r="K403" s="131">
        <v>1</v>
      </c>
      <c r="L403" s="131">
        <v>1</v>
      </c>
      <c r="M403" s="131">
        <v>1</v>
      </c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3.5" customHeight="1" x14ac:dyDescent="0.3">
      <c r="A404" s="43" t="s">
        <v>292</v>
      </c>
      <c r="B404" s="43"/>
      <c r="C404" s="43"/>
      <c r="D404" s="43" t="s">
        <v>155</v>
      </c>
      <c r="E404" s="131">
        <v>28</v>
      </c>
      <c r="F404" s="45"/>
      <c r="G404" s="45"/>
      <c r="H404" s="131">
        <f>0.6</f>
        <v>0.6</v>
      </c>
      <c r="I404" s="131">
        <v>1</v>
      </c>
      <c r="J404" s="131">
        <v>2</v>
      </c>
      <c r="K404" s="131">
        <v>2</v>
      </c>
      <c r="L404" s="131">
        <v>2</v>
      </c>
      <c r="M404" s="131">
        <v>2</v>
      </c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3.5" customHeight="1" x14ac:dyDescent="0.3">
      <c r="A405" s="43" t="s">
        <v>293</v>
      </c>
      <c r="B405" s="43"/>
      <c r="C405" s="43"/>
      <c r="D405" s="43" t="s">
        <v>155</v>
      </c>
      <c r="E405" s="131">
        <v>30</v>
      </c>
      <c r="F405" s="45"/>
      <c r="G405" s="45"/>
      <c r="H405" s="131">
        <v>1</v>
      </c>
      <c r="I405" s="131">
        <v>1</v>
      </c>
      <c r="J405" s="131">
        <v>2</v>
      </c>
      <c r="K405" s="131">
        <v>2</v>
      </c>
      <c r="L405" s="131">
        <v>2</v>
      </c>
      <c r="M405" s="131">
        <v>2</v>
      </c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3.5" customHeight="1" x14ac:dyDescent="0.3">
      <c r="A406" s="43" t="s">
        <v>294</v>
      </c>
      <c r="B406" s="43"/>
      <c r="C406" s="43"/>
      <c r="D406" s="43" t="s">
        <v>155</v>
      </c>
      <c r="E406" s="131">
        <v>22</v>
      </c>
      <c r="F406" s="45" t="s">
        <v>295</v>
      </c>
      <c r="G406" s="45"/>
      <c r="H406" s="131">
        <v>3</v>
      </c>
      <c r="I406" s="131">
        <v>5</v>
      </c>
      <c r="J406" s="78">
        <f t="shared" ref="J406:M406" si="313">FLOOR(I406/I250*J250,1)</f>
        <v>9</v>
      </c>
      <c r="K406" s="78">
        <f t="shared" si="313"/>
        <v>16</v>
      </c>
      <c r="L406" s="78">
        <f t="shared" si="313"/>
        <v>27</v>
      </c>
      <c r="M406" s="78">
        <f t="shared" si="313"/>
        <v>31</v>
      </c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3.5" customHeight="1" x14ac:dyDescent="0.3">
      <c r="A407" s="47" t="s">
        <v>296</v>
      </c>
      <c r="B407" s="47"/>
      <c r="C407" s="47"/>
      <c r="D407" s="47" t="s">
        <v>155</v>
      </c>
      <c r="E407" s="58"/>
      <c r="F407" s="51">
        <f>COUNTIF(H391:H406,"&gt;0")-COUNTIF(H391:H406,"&gt;=1")+SUMIF(H391:H406,"&gt;=1")</f>
        <v>14</v>
      </c>
      <c r="G407" s="51"/>
      <c r="H407" s="51">
        <f>SUM(H395:H406)</f>
        <v>7.7</v>
      </c>
      <c r="I407" s="51">
        <f t="shared" ref="I407:M407" si="314">SUM(I391:I406)</f>
        <v>20</v>
      </c>
      <c r="J407" s="51">
        <f t="shared" si="314"/>
        <v>29</v>
      </c>
      <c r="K407" s="51">
        <f t="shared" si="314"/>
        <v>43</v>
      </c>
      <c r="L407" s="51">
        <f t="shared" si="314"/>
        <v>58</v>
      </c>
      <c r="M407" s="51">
        <f t="shared" si="314"/>
        <v>64</v>
      </c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3.5" customHeight="1" x14ac:dyDescent="0.3">
      <c r="A408" s="47"/>
      <c r="B408" s="47"/>
      <c r="C408" s="47"/>
      <c r="D408" s="47"/>
      <c r="E408" s="58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3.5" customHeight="1" x14ac:dyDescent="0.3">
      <c r="A409" s="47" t="s">
        <v>297</v>
      </c>
      <c r="B409" s="47"/>
      <c r="C409" s="47"/>
      <c r="D409" s="47"/>
      <c r="E409" s="58"/>
      <c r="F409" s="51"/>
      <c r="G409" s="51"/>
      <c r="H409" s="51">
        <f t="shared" ref="H409:M409" si="315">H403*$E$403+50%*H395*$E$395+40%*H392*$E$392+20%*H391*$E$391+H393*$E$393+80%*H400*$E$400+H401*$E$401+50%*H397*$E$397+H402*$E$402</f>
        <v>101.6</v>
      </c>
      <c r="I409" s="51">
        <f t="shared" si="315"/>
        <v>284.39999999999998</v>
      </c>
      <c r="J409" s="51">
        <f t="shared" si="315"/>
        <v>320.39999999999998</v>
      </c>
      <c r="K409" s="51">
        <f t="shared" si="315"/>
        <v>386.4</v>
      </c>
      <c r="L409" s="51">
        <f t="shared" si="315"/>
        <v>422.4</v>
      </c>
      <c r="M409" s="51">
        <f t="shared" si="315"/>
        <v>476.4</v>
      </c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3.5" customHeight="1" x14ac:dyDescent="0.3">
      <c r="A410" s="47"/>
      <c r="B410" s="132"/>
      <c r="C410" s="47"/>
      <c r="D410" s="47"/>
      <c r="E410" s="58"/>
      <c r="F410" s="51"/>
      <c r="G410" s="51"/>
      <c r="H410" s="83">
        <f t="shared" ref="H410:M410" si="316">H409/H417</f>
        <v>0.33051398828887435</v>
      </c>
      <c r="I410" s="83">
        <f t="shared" si="316"/>
        <v>0.3845841784989858</v>
      </c>
      <c r="J410" s="83">
        <f t="shared" si="316"/>
        <v>0.32657314688085948</v>
      </c>
      <c r="K410" s="83">
        <f t="shared" si="316"/>
        <v>0.27418173950977259</v>
      </c>
      <c r="L410" s="83">
        <f t="shared" si="316"/>
        <v>0.23297451221110421</v>
      </c>
      <c r="M410" s="83">
        <f t="shared" si="316"/>
        <v>0.23361676112775953</v>
      </c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3.5" customHeight="1" x14ac:dyDescent="0.3">
      <c r="A411" s="43"/>
      <c r="B411" s="43"/>
      <c r="C411" s="43"/>
      <c r="D411" s="43"/>
      <c r="E411" s="44"/>
      <c r="F411" s="45"/>
      <c r="G411" s="45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3.5" customHeight="1" x14ac:dyDescent="0.3">
      <c r="A412" s="43" t="s">
        <v>298</v>
      </c>
      <c r="B412" s="43"/>
      <c r="C412" s="43"/>
      <c r="D412" s="133" t="s">
        <v>121</v>
      </c>
      <c r="E412" s="48">
        <v>0.02</v>
      </c>
      <c r="F412" s="134"/>
      <c r="G412" s="134"/>
      <c r="H412" s="48">
        <v>0</v>
      </c>
      <c r="I412" s="75">
        <f>E412</f>
        <v>0.02</v>
      </c>
      <c r="J412" s="75">
        <f t="shared" ref="J412:M412" si="317">I412</f>
        <v>0.02</v>
      </c>
      <c r="K412" s="75">
        <f t="shared" si="317"/>
        <v>0.02</v>
      </c>
      <c r="L412" s="75">
        <f t="shared" si="317"/>
        <v>0.02</v>
      </c>
      <c r="M412" s="75">
        <f t="shared" si="317"/>
        <v>0.02</v>
      </c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3.5" customHeight="1" x14ac:dyDescent="0.3">
      <c r="A413" s="43"/>
      <c r="B413" s="43"/>
      <c r="C413" s="43"/>
      <c r="D413" s="43"/>
      <c r="E413" s="44"/>
      <c r="F413" s="135"/>
      <c r="G413" s="135"/>
      <c r="H413" s="85"/>
      <c r="I413" s="85"/>
      <c r="J413" s="85"/>
      <c r="K413" s="85"/>
      <c r="L413" s="85"/>
      <c r="M413" s="85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3.5" customHeight="1" x14ac:dyDescent="0.3">
      <c r="A414" s="43"/>
      <c r="B414" s="43"/>
      <c r="C414" s="43"/>
      <c r="D414" s="43"/>
      <c r="E414" s="44"/>
      <c r="F414" s="136"/>
      <c r="G414" s="136"/>
      <c r="H414" s="36"/>
      <c r="I414" s="36"/>
      <c r="J414" s="36"/>
      <c r="K414" s="36"/>
      <c r="L414" s="36"/>
      <c r="M414" s="3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3.5" customHeight="1" x14ac:dyDescent="0.3">
      <c r="A415" s="63" t="s">
        <v>299</v>
      </c>
      <c r="B415" s="63"/>
      <c r="C415" s="63"/>
      <c r="D415" s="63" t="s">
        <v>93</v>
      </c>
      <c r="E415" s="137"/>
      <c r="F415" s="45">
        <f t="shared" ref="F415:F417" si="318">SUM(H415:L415)</f>
        <v>5250.3552920000002</v>
      </c>
      <c r="G415" s="45"/>
      <c r="H415" s="46">
        <f t="shared" ref="H415:M415" si="319">FVSCHEDULE(SUMPRODUCT($E391:$E406,H391:H406),$H412:H412)</f>
        <v>307.40000000000003</v>
      </c>
      <c r="I415" s="46">
        <f t="shared" si="319"/>
        <v>739.5</v>
      </c>
      <c r="J415" s="46">
        <f t="shared" si="319"/>
        <v>981.09720000000004</v>
      </c>
      <c r="K415" s="46">
        <f t="shared" si="319"/>
        <v>1409.284224</v>
      </c>
      <c r="L415" s="46">
        <f t="shared" si="319"/>
        <v>1813.0738680000002</v>
      </c>
      <c r="M415" s="46">
        <f t="shared" si="319"/>
        <v>2039.2372435104003</v>
      </c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3.5" customHeight="1" x14ac:dyDescent="0.3">
      <c r="A416" s="63" t="s">
        <v>300</v>
      </c>
      <c r="B416" s="63"/>
      <c r="C416" s="63"/>
      <c r="D416" s="63" t="s">
        <v>93</v>
      </c>
      <c r="E416" s="137"/>
      <c r="F416" s="45">
        <f t="shared" si="318"/>
        <v>388.91520681481484</v>
      </c>
      <c r="G416" s="45"/>
      <c r="H416" s="46">
        <f t="shared" ref="H416:M416" si="320">H415*H382</f>
        <v>22.770370370370372</v>
      </c>
      <c r="I416" s="46">
        <f t="shared" si="320"/>
        <v>54.777777777777771</v>
      </c>
      <c r="J416" s="46">
        <f t="shared" si="320"/>
        <v>72.673866666666669</v>
      </c>
      <c r="K416" s="46">
        <f t="shared" si="320"/>
        <v>104.391424</v>
      </c>
      <c r="L416" s="46">
        <f t="shared" si="320"/>
        <v>134.30176800000001</v>
      </c>
      <c r="M416" s="46">
        <f t="shared" si="320"/>
        <v>151.05461063040002</v>
      </c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3.5" customHeight="1" x14ac:dyDescent="0.3">
      <c r="A417" s="54" t="s">
        <v>301</v>
      </c>
      <c r="B417" s="54"/>
      <c r="C417" s="54"/>
      <c r="D417" s="54" t="s">
        <v>93</v>
      </c>
      <c r="E417" s="55"/>
      <c r="F417" s="56">
        <f t="shared" si="318"/>
        <v>5250.3552920000002</v>
      </c>
      <c r="G417" s="56"/>
      <c r="H417" s="56">
        <f t="shared" ref="H417:M417" si="321">H415</f>
        <v>307.40000000000003</v>
      </c>
      <c r="I417" s="56">
        <f t="shared" si="321"/>
        <v>739.5</v>
      </c>
      <c r="J417" s="56">
        <f t="shared" si="321"/>
        <v>981.09720000000004</v>
      </c>
      <c r="K417" s="56">
        <f t="shared" si="321"/>
        <v>1409.284224</v>
      </c>
      <c r="L417" s="56">
        <f t="shared" si="321"/>
        <v>1813.0738680000002</v>
      </c>
      <c r="M417" s="56">
        <f t="shared" si="321"/>
        <v>2039.2372435104003</v>
      </c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3.5" customHeight="1" x14ac:dyDescent="0.3">
      <c r="A418" s="54"/>
      <c r="B418" s="54"/>
      <c r="C418" s="54"/>
      <c r="D418" s="54"/>
      <c r="E418" s="55"/>
      <c r="F418" s="138" t="s">
        <v>302</v>
      </c>
      <c r="G418" s="138"/>
      <c r="H418" s="139" t="e">
        <f t="shared" ref="H418:M418" si="322">H417/#REF!</f>
        <v>#REF!</v>
      </c>
      <c r="I418" s="139" t="e">
        <f t="shared" si="322"/>
        <v>#REF!</v>
      </c>
      <c r="J418" s="139" t="e">
        <f t="shared" si="322"/>
        <v>#REF!</v>
      </c>
      <c r="K418" s="139" t="e">
        <f t="shared" si="322"/>
        <v>#REF!</v>
      </c>
      <c r="L418" s="139" t="e">
        <f t="shared" si="322"/>
        <v>#REF!</v>
      </c>
      <c r="M418" s="139" t="e">
        <f t="shared" si="322"/>
        <v>#REF!</v>
      </c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3.5" customHeight="1" x14ac:dyDescent="0.3">
      <c r="A419" s="43"/>
      <c r="B419" s="43"/>
      <c r="C419" s="43"/>
      <c r="D419" s="43"/>
      <c r="E419" s="44"/>
      <c r="F419" s="140"/>
      <c r="G419" s="140"/>
      <c r="H419" s="141"/>
      <c r="I419" s="141"/>
      <c r="J419" s="141"/>
      <c r="K419" s="141"/>
      <c r="L419" s="141"/>
      <c r="M419" s="141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3.5" customHeight="1" x14ac:dyDescent="0.3">
      <c r="A420" s="43"/>
      <c r="B420" s="43"/>
      <c r="C420" s="43"/>
      <c r="D420" s="43"/>
      <c r="E420" s="44"/>
      <c r="F420" s="37" t="s">
        <v>166</v>
      </c>
      <c r="G420" s="37"/>
      <c r="H420" s="37" t="s">
        <v>81</v>
      </c>
      <c r="I420" s="37" t="s">
        <v>82</v>
      </c>
      <c r="J420" s="37" t="s">
        <v>83</v>
      </c>
      <c r="K420" s="37" t="s">
        <v>84</v>
      </c>
      <c r="L420" s="37" t="s">
        <v>85</v>
      </c>
      <c r="M420" s="37" t="s">
        <v>86</v>
      </c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3.5" customHeight="1" x14ac:dyDescent="0.3">
      <c r="A421" s="46"/>
      <c r="B421" s="43"/>
      <c r="C421" s="43"/>
      <c r="D421" s="43"/>
      <c r="E421" s="44"/>
      <c r="F421" s="86">
        <f>H421-1</f>
        <v>2021</v>
      </c>
      <c r="G421" s="86"/>
      <c r="H421" s="86">
        <f t="shared" ref="H421:M421" si="323">H$58</f>
        <v>2022</v>
      </c>
      <c r="I421" s="86">
        <f t="shared" si="323"/>
        <v>2023</v>
      </c>
      <c r="J421" s="86">
        <f t="shared" si="323"/>
        <v>2024</v>
      </c>
      <c r="K421" s="86">
        <f t="shared" si="323"/>
        <v>2025</v>
      </c>
      <c r="L421" s="86">
        <f t="shared" si="323"/>
        <v>2026</v>
      </c>
      <c r="M421" s="86">
        <f t="shared" si="323"/>
        <v>2027</v>
      </c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3.5" customHeight="1" x14ac:dyDescent="0.3">
      <c r="A422" s="63" t="s">
        <v>303</v>
      </c>
      <c r="B422" s="63"/>
      <c r="C422" s="63"/>
      <c r="D422" s="63" t="s">
        <v>93</v>
      </c>
      <c r="E422" s="107">
        <f>E412</f>
        <v>0.02</v>
      </c>
      <c r="F422" s="137"/>
      <c r="G422" s="137"/>
      <c r="H422" s="45">
        <f>F422*(1+$E422)+H416</f>
        <v>22.770370370370372</v>
      </c>
      <c r="I422" s="45">
        <f t="shared" ref="I422:M422" si="324">H422*(1+$E422)+I416</f>
        <v>78.00355555555555</v>
      </c>
      <c r="J422" s="45">
        <f t="shared" si="324"/>
        <v>152.23749333333333</v>
      </c>
      <c r="K422" s="45">
        <f t="shared" si="324"/>
        <v>259.67366720000001</v>
      </c>
      <c r="L422" s="45">
        <f t="shared" si="324"/>
        <v>399.16890854400003</v>
      </c>
      <c r="M422" s="45">
        <f t="shared" si="324"/>
        <v>558.20689734528014</v>
      </c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3.5" customHeight="1" x14ac:dyDescent="0.3">
      <c r="A423" s="43"/>
      <c r="B423" s="43"/>
      <c r="C423" s="43"/>
      <c r="D423" s="43"/>
      <c r="E423" s="44"/>
      <c r="F423" s="45"/>
      <c r="G423" s="45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3.5" customHeight="1" x14ac:dyDescent="0.3">
      <c r="A424" s="35"/>
      <c r="B424" s="35"/>
      <c r="C424" s="35"/>
      <c r="D424" s="35"/>
      <c r="E424" s="36"/>
      <c r="F424" s="36" t="s">
        <v>163</v>
      </c>
      <c r="G424" s="36"/>
      <c r="H424" s="37" t="s">
        <v>81</v>
      </c>
      <c r="I424" s="37" t="s">
        <v>82</v>
      </c>
      <c r="J424" s="37" t="s">
        <v>83</v>
      </c>
      <c r="K424" s="37" t="s">
        <v>84</v>
      </c>
      <c r="L424" s="37" t="s">
        <v>85</v>
      </c>
      <c r="M424" s="37" t="s">
        <v>86</v>
      </c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3.5" customHeight="1" x14ac:dyDescent="0.3">
      <c r="A425" s="40" t="s">
        <v>304</v>
      </c>
      <c r="B425" s="68"/>
      <c r="C425" s="68"/>
      <c r="D425" s="40" t="s">
        <v>89</v>
      </c>
      <c r="E425" s="39" t="s">
        <v>115</v>
      </c>
      <c r="F425" s="39" t="s">
        <v>142</v>
      </c>
      <c r="G425" s="39"/>
      <c r="H425" s="57">
        <f t="shared" ref="H425:M425" si="325">H$58</f>
        <v>2022</v>
      </c>
      <c r="I425" s="57">
        <f t="shared" si="325"/>
        <v>2023</v>
      </c>
      <c r="J425" s="57">
        <f t="shared" si="325"/>
        <v>2024</v>
      </c>
      <c r="K425" s="57">
        <f t="shared" si="325"/>
        <v>2025</v>
      </c>
      <c r="L425" s="57">
        <f t="shared" si="325"/>
        <v>2026</v>
      </c>
      <c r="M425" s="57">
        <f t="shared" si="325"/>
        <v>2027</v>
      </c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3.5" customHeight="1" x14ac:dyDescent="0.3">
      <c r="A426" s="43"/>
      <c r="B426" s="43"/>
      <c r="C426" s="43"/>
      <c r="D426" s="43"/>
      <c r="E426" s="44"/>
      <c r="F426" s="45"/>
      <c r="G426" s="45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3.5" customHeight="1" x14ac:dyDescent="0.3">
      <c r="A427" s="63" t="s">
        <v>305</v>
      </c>
      <c r="B427" s="63" t="s">
        <v>306</v>
      </c>
      <c r="C427" s="43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3.5" customHeight="1" x14ac:dyDescent="0.3">
      <c r="A428" s="43" t="s">
        <v>307</v>
      </c>
      <c r="B428" s="43" t="s">
        <v>308</v>
      </c>
      <c r="C428" s="43"/>
      <c r="D428" s="43" t="s">
        <v>93</v>
      </c>
      <c r="E428" s="131">
        <v>0.3</v>
      </c>
      <c r="F428" s="45">
        <f t="shared" ref="F428:F432" si="326">SUM(H428:L428)</f>
        <v>50.005382783999998</v>
      </c>
      <c r="G428" s="45"/>
      <c r="H428" s="78">
        <f t="shared" ref="H428:M428" si="327">FVSCHEDULE($E428*(H407),$H$433:H$433)</f>
        <v>2.31</v>
      </c>
      <c r="I428" s="78">
        <f t="shared" si="327"/>
        <v>6.12</v>
      </c>
      <c r="J428" s="78">
        <f t="shared" si="327"/>
        <v>9.0514799999999997</v>
      </c>
      <c r="K428" s="78">
        <f t="shared" si="327"/>
        <v>13.689583200000003</v>
      </c>
      <c r="L428" s="78">
        <f t="shared" si="327"/>
        <v>18.834319583999999</v>
      </c>
      <c r="M428" s="78">
        <f t="shared" si="327"/>
        <v>21.198351421439998</v>
      </c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3.5" customHeight="1" x14ac:dyDescent="0.3">
      <c r="A429" s="43" t="s">
        <v>309</v>
      </c>
      <c r="B429" s="43" t="s">
        <v>308</v>
      </c>
      <c r="C429" s="43"/>
      <c r="D429" s="43" t="s">
        <v>93</v>
      </c>
      <c r="E429" s="131">
        <v>0.2</v>
      </c>
      <c r="F429" s="45">
        <f t="shared" si="326"/>
        <v>33.336921856000004</v>
      </c>
      <c r="G429" s="45"/>
      <c r="H429" s="78">
        <f t="shared" ref="H429:M429" si="328">FVSCHEDULE($E429*(H407),$H$433:H$433)</f>
        <v>1.54</v>
      </c>
      <c r="I429" s="78">
        <f t="shared" si="328"/>
        <v>4.08</v>
      </c>
      <c r="J429" s="78">
        <f t="shared" si="328"/>
        <v>6.034320000000001</v>
      </c>
      <c r="K429" s="78">
        <f t="shared" si="328"/>
        <v>9.1263888000000009</v>
      </c>
      <c r="L429" s="78">
        <f t="shared" si="328"/>
        <v>12.556213056000002</v>
      </c>
      <c r="M429" s="78">
        <f t="shared" si="328"/>
        <v>14.132234280960002</v>
      </c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3.5" customHeight="1" x14ac:dyDescent="0.3">
      <c r="A430" s="43" t="s">
        <v>310</v>
      </c>
      <c r="B430" s="43" t="s">
        <v>311</v>
      </c>
      <c r="C430" s="43"/>
      <c r="D430" s="43" t="s">
        <v>93</v>
      </c>
      <c r="E430" s="131">
        <v>0.5</v>
      </c>
      <c r="F430" s="45">
        <f t="shared" si="326"/>
        <v>51.508006480000006</v>
      </c>
      <c r="G430" s="45"/>
      <c r="H430" s="78">
        <f t="shared" ref="H430:M430" si="329">FVSCHEDULE($E430*(H407-H406),$H$433:H$433)</f>
        <v>2.35</v>
      </c>
      <c r="I430" s="78">
        <f t="shared" si="329"/>
        <v>7.65</v>
      </c>
      <c r="J430" s="78">
        <f t="shared" si="329"/>
        <v>10.404</v>
      </c>
      <c r="K430" s="78">
        <f t="shared" si="329"/>
        <v>14.326307999999999</v>
      </c>
      <c r="L430" s="78">
        <f t="shared" si="329"/>
        <v>16.777698480000002</v>
      </c>
      <c r="M430" s="78">
        <f t="shared" si="329"/>
        <v>18.217333252800007</v>
      </c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3.5" customHeight="1" x14ac:dyDescent="0.3">
      <c r="A431" s="43" t="s">
        <v>225</v>
      </c>
      <c r="B431" s="43" t="s">
        <v>308</v>
      </c>
      <c r="C431" s="43"/>
      <c r="D431" s="43" t="s">
        <v>93</v>
      </c>
      <c r="E431" s="131"/>
      <c r="F431" s="45">
        <f t="shared" si="326"/>
        <v>0</v>
      </c>
      <c r="G431" s="45"/>
      <c r="H431" s="78"/>
      <c r="I431" s="78"/>
      <c r="J431" s="78"/>
      <c r="K431" s="78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3.5" customHeight="1" x14ac:dyDescent="0.3">
      <c r="A432" s="63" t="s">
        <v>312</v>
      </c>
      <c r="B432" s="63"/>
      <c r="C432" s="63"/>
      <c r="D432" s="63" t="s">
        <v>93</v>
      </c>
      <c r="E432" s="137"/>
      <c r="F432" s="45">
        <f t="shared" si="326"/>
        <v>134.85031112000001</v>
      </c>
      <c r="G432" s="45"/>
      <c r="H432" s="100">
        <f t="shared" ref="H432:M432" si="330">SUM(H428:H431)</f>
        <v>6.2</v>
      </c>
      <c r="I432" s="100">
        <f t="shared" si="330"/>
        <v>17.850000000000001</v>
      </c>
      <c r="J432" s="100">
        <f t="shared" si="330"/>
        <v>25.489800000000002</v>
      </c>
      <c r="K432" s="100">
        <f t="shared" si="330"/>
        <v>37.14228</v>
      </c>
      <c r="L432" s="45">
        <f t="shared" si="330"/>
        <v>48.168231120000002</v>
      </c>
      <c r="M432" s="45">
        <f t="shared" si="330"/>
        <v>53.547918955200004</v>
      </c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3.5" customHeight="1" x14ac:dyDescent="0.3">
      <c r="A433" s="43" t="s">
        <v>313</v>
      </c>
      <c r="B433" s="43"/>
      <c r="C433" s="43"/>
      <c r="D433" s="133" t="s">
        <v>121</v>
      </c>
      <c r="E433" s="48">
        <v>0.02</v>
      </c>
      <c r="F433" s="134"/>
      <c r="G433" s="134"/>
      <c r="H433" s="48">
        <v>0</v>
      </c>
      <c r="I433" s="75">
        <f>E433</f>
        <v>0.02</v>
      </c>
      <c r="J433" s="75">
        <f t="shared" ref="J433:M433" si="331">I433</f>
        <v>0.02</v>
      </c>
      <c r="K433" s="75">
        <f t="shared" si="331"/>
        <v>0.02</v>
      </c>
      <c r="L433" s="75">
        <f t="shared" si="331"/>
        <v>0.02</v>
      </c>
      <c r="M433" s="75">
        <f t="shared" si="331"/>
        <v>0.02</v>
      </c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3.5" customHeight="1" x14ac:dyDescent="0.3">
      <c r="A434" s="63"/>
      <c r="B434" s="63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3.5" customHeight="1" x14ac:dyDescent="0.3">
      <c r="A435" s="63" t="s">
        <v>314</v>
      </c>
      <c r="B435" s="63" t="s">
        <v>306</v>
      </c>
      <c r="C435" s="43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3.5" customHeight="1" x14ac:dyDescent="0.3">
      <c r="A436" s="43" t="s">
        <v>315</v>
      </c>
      <c r="B436" s="43" t="s">
        <v>316</v>
      </c>
      <c r="C436" s="43"/>
      <c r="D436" s="43" t="s">
        <v>93</v>
      </c>
      <c r="E436" s="50">
        <v>4.0000000000000001E-3</v>
      </c>
      <c r="F436" s="45">
        <f t="shared" ref="F436:F439" si="332">SUM(H436:L436)</f>
        <v>59.912837074430115</v>
      </c>
      <c r="G436" s="45"/>
      <c r="H436" s="46">
        <f t="shared" ref="H436:M436" si="333">$E436*H$297+(FVSCHEDULE($E436*H$339,$H$442:H$442))</f>
        <v>2.4424741575110582</v>
      </c>
      <c r="I436" s="46">
        <f t="shared" si="333"/>
        <v>4.6536258203550345</v>
      </c>
      <c r="J436" s="46">
        <f t="shared" si="333"/>
        <v>6.9821743206408282</v>
      </c>
      <c r="K436" s="46">
        <f t="shared" si="333"/>
        <v>15.409063334280106</v>
      </c>
      <c r="L436" s="46">
        <f t="shared" si="333"/>
        <v>30.425499441643087</v>
      </c>
      <c r="M436" s="46">
        <f t="shared" si="333"/>
        <v>5.5187337352005716</v>
      </c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3.5" customHeight="1" x14ac:dyDescent="0.3">
      <c r="A437" s="43" t="s">
        <v>317</v>
      </c>
      <c r="B437" s="43" t="s">
        <v>316</v>
      </c>
      <c r="C437" s="43"/>
      <c r="D437" s="43" t="s">
        <v>93</v>
      </c>
      <c r="E437" s="50">
        <v>1E-3</v>
      </c>
      <c r="F437" s="45">
        <f t="shared" si="332"/>
        <v>14.978209268607529</v>
      </c>
      <c r="G437" s="45"/>
      <c r="H437" s="46">
        <f t="shared" ref="H437:M437" si="334">$E437*H$297+(FVSCHEDULE($E437*H$339,$H$442:H$442))</f>
        <v>0.61061853937776456</v>
      </c>
      <c r="I437" s="46">
        <f t="shared" si="334"/>
        <v>1.1634064550887586</v>
      </c>
      <c r="J437" s="46">
        <f t="shared" si="334"/>
        <v>1.7455435801602071</v>
      </c>
      <c r="K437" s="46">
        <f t="shared" si="334"/>
        <v>3.8522658335700264</v>
      </c>
      <c r="L437" s="46">
        <f t="shared" si="334"/>
        <v>7.6063748604107717</v>
      </c>
      <c r="M437" s="46">
        <f t="shared" si="334"/>
        <v>1.3796834338001429</v>
      </c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3.5" customHeight="1" x14ac:dyDescent="0.3">
      <c r="A438" s="43" t="s">
        <v>318</v>
      </c>
      <c r="B438" s="43" t="s">
        <v>316</v>
      </c>
      <c r="C438" s="43"/>
      <c r="D438" s="43" t="s">
        <v>93</v>
      </c>
      <c r="E438" s="142">
        <v>2.9999999999999997E-4</v>
      </c>
      <c r="F438" s="45">
        <f t="shared" si="332"/>
        <v>4.4934627805822576</v>
      </c>
      <c r="G438" s="45"/>
      <c r="H438" s="46">
        <f t="shared" ref="H438:M438" si="335">$E438*H$297+(FVSCHEDULE($E438*H$339,$H$442:H$442))</f>
        <v>0.18318556181332935</v>
      </c>
      <c r="I438" s="46">
        <f t="shared" si="335"/>
        <v>0.3490219365266275</v>
      </c>
      <c r="J438" s="46">
        <f t="shared" si="335"/>
        <v>0.52366307404806212</v>
      </c>
      <c r="K438" s="46">
        <f t="shared" si="335"/>
        <v>1.1556797500710076</v>
      </c>
      <c r="L438" s="46">
        <f t="shared" si="335"/>
        <v>2.2819124581232311</v>
      </c>
      <c r="M438" s="46">
        <f t="shared" si="335"/>
        <v>0.41390503014004282</v>
      </c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3.5" customHeight="1" x14ac:dyDescent="0.3">
      <c r="A439" s="43" t="s">
        <v>319</v>
      </c>
      <c r="B439" s="43" t="s">
        <v>316</v>
      </c>
      <c r="C439" s="43"/>
      <c r="D439" s="43" t="s">
        <v>93</v>
      </c>
      <c r="E439" s="142">
        <v>1E-3</v>
      </c>
      <c r="F439" s="45">
        <f t="shared" si="332"/>
        <v>14.978209268607529</v>
      </c>
      <c r="G439" s="45"/>
      <c r="H439" s="46">
        <f t="shared" ref="H439:M439" si="336">$E439*H$297+(FVSCHEDULE($E439*H$339,$H$442:H$442))</f>
        <v>0.61061853937776456</v>
      </c>
      <c r="I439" s="46">
        <f t="shared" si="336"/>
        <v>1.1634064550887586</v>
      </c>
      <c r="J439" s="46">
        <f t="shared" si="336"/>
        <v>1.7455435801602071</v>
      </c>
      <c r="K439" s="46">
        <f t="shared" si="336"/>
        <v>3.8522658335700264</v>
      </c>
      <c r="L439" s="46">
        <f t="shared" si="336"/>
        <v>7.6063748604107717</v>
      </c>
      <c r="M439" s="46">
        <f t="shared" si="336"/>
        <v>1.3796834338001429</v>
      </c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3.5" customHeight="1" x14ac:dyDescent="0.3">
      <c r="A440" s="43" t="s">
        <v>225</v>
      </c>
      <c r="B440" s="43"/>
      <c r="C440" s="43"/>
      <c r="D440" s="43"/>
      <c r="E440" s="131"/>
      <c r="F440" s="45"/>
      <c r="G440" s="45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3.5" customHeight="1" x14ac:dyDescent="0.3">
      <c r="A441" s="63" t="s">
        <v>320</v>
      </c>
      <c r="B441" s="63"/>
      <c r="C441" s="63"/>
      <c r="D441" s="63" t="s">
        <v>93</v>
      </c>
      <c r="E441" s="137"/>
      <c r="F441" s="45">
        <f>SUM(H441:L441)</f>
        <v>94.362718392227436</v>
      </c>
      <c r="G441" s="45"/>
      <c r="H441" s="45">
        <f t="shared" ref="H441:M441" si="337">SUM(H436:H440)</f>
        <v>3.846896798079916</v>
      </c>
      <c r="I441" s="45">
        <f t="shared" si="337"/>
        <v>7.3294606670591795</v>
      </c>
      <c r="J441" s="45">
        <f t="shared" si="337"/>
        <v>10.996924555009306</v>
      </c>
      <c r="K441" s="45">
        <f t="shared" si="337"/>
        <v>24.269274751491167</v>
      </c>
      <c r="L441" s="45">
        <f t="shared" si="337"/>
        <v>47.920161620587862</v>
      </c>
      <c r="M441" s="45">
        <f t="shared" si="337"/>
        <v>8.6920056329408997</v>
      </c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3.5" customHeight="1" x14ac:dyDescent="0.3">
      <c r="A442" s="43" t="s">
        <v>313</v>
      </c>
      <c r="B442" s="43"/>
      <c r="C442" s="43"/>
      <c r="D442" s="133" t="s">
        <v>121</v>
      </c>
      <c r="E442" s="48">
        <v>0.02</v>
      </c>
      <c r="F442" s="134"/>
      <c r="G442" s="134"/>
      <c r="H442" s="48">
        <v>0</v>
      </c>
      <c r="I442" s="75">
        <f>E442</f>
        <v>0.02</v>
      </c>
      <c r="J442" s="75">
        <f t="shared" ref="J442:M442" si="338">I442</f>
        <v>0.02</v>
      </c>
      <c r="K442" s="75">
        <f t="shared" si="338"/>
        <v>0.02</v>
      </c>
      <c r="L442" s="75">
        <f t="shared" si="338"/>
        <v>0.02</v>
      </c>
      <c r="M442" s="75">
        <f t="shared" si="338"/>
        <v>0.02</v>
      </c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3.5" customHeight="1" x14ac:dyDescent="0.3">
      <c r="A443" s="43"/>
      <c r="B443" s="43"/>
      <c r="C443" s="43"/>
      <c r="D443" s="133"/>
      <c r="E443" s="48"/>
      <c r="F443" s="134"/>
      <c r="G443" s="134"/>
      <c r="H443" s="48"/>
      <c r="I443" s="75"/>
      <c r="J443" s="75"/>
      <c r="K443" s="75"/>
      <c r="L443" s="75"/>
      <c r="M443" s="75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3.5" customHeight="1" x14ac:dyDescent="0.3">
      <c r="A444" s="63"/>
      <c r="B444" s="63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3.5" customHeight="1" x14ac:dyDescent="0.3">
      <c r="A445" s="35"/>
      <c r="B445" s="35"/>
      <c r="C445" s="35"/>
      <c r="D445" s="35"/>
      <c r="E445" s="36"/>
      <c r="F445" s="36" t="s">
        <v>163</v>
      </c>
      <c r="G445" s="36"/>
      <c r="H445" s="37" t="s">
        <v>81</v>
      </c>
      <c r="I445" s="37" t="s">
        <v>82</v>
      </c>
      <c r="J445" s="37" t="s">
        <v>83</v>
      </c>
      <c r="K445" s="37" t="s">
        <v>84</v>
      </c>
      <c r="L445" s="37" t="s">
        <v>85</v>
      </c>
      <c r="M445" s="37" t="s">
        <v>86</v>
      </c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3.5" customHeight="1" x14ac:dyDescent="0.3">
      <c r="A446" s="40" t="s">
        <v>321</v>
      </c>
      <c r="B446" s="68"/>
      <c r="C446" s="68"/>
      <c r="D446" s="40" t="s">
        <v>89</v>
      </c>
      <c r="E446" s="39" t="s">
        <v>115</v>
      </c>
      <c r="F446" s="39" t="s">
        <v>142</v>
      </c>
      <c r="G446" s="39"/>
      <c r="H446" s="57">
        <f t="shared" ref="H446:M446" si="339">H$58</f>
        <v>2022</v>
      </c>
      <c r="I446" s="57">
        <f t="shared" si="339"/>
        <v>2023</v>
      </c>
      <c r="J446" s="57">
        <f t="shared" si="339"/>
        <v>2024</v>
      </c>
      <c r="K446" s="57">
        <f t="shared" si="339"/>
        <v>2025</v>
      </c>
      <c r="L446" s="57">
        <f t="shared" si="339"/>
        <v>2026</v>
      </c>
      <c r="M446" s="57">
        <f t="shared" si="339"/>
        <v>2027</v>
      </c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3.5" customHeight="1" x14ac:dyDescent="0.3">
      <c r="A447" s="43"/>
      <c r="B447" s="43"/>
      <c r="C447" s="43"/>
      <c r="D447" s="43"/>
      <c r="E447" s="44"/>
      <c r="F447" s="45"/>
      <c r="G447" s="45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3.5" customHeight="1" x14ac:dyDescent="0.3">
      <c r="A448" s="63"/>
      <c r="B448" s="63" t="s">
        <v>306</v>
      </c>
      <c r="C448" s="46"/>
      <c r="D448" s="46"/>
      <c r="E448" s="46"/>
      <c r="F448" s="46"/>
      <c r="G448" s="46"/>
      <c r="H448" s="143"/>
      <c r="I448" s="143"/>
      <c r="J448" s="143"/>
      <c r="K448" s="143"/>
      <c r="L448" s="143"/>
      <c r="M448" s="143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3.5" customHeight="1" x14ac:dyDescent="0.3">
      <c r="A449" s="144" t="s">
        <v>322</v>
      </c>
      <c r="B449" s="145"/>
      <c r="C449" s="144"/>
      <c r="D449" s="144" t="s">
        <v>93</v>
      </c>
      <c r="E449" s="146">
        <v>31</v>
      </c>
      <c r="F449" s="147">
        <f t="shared" ref="F449:F474" si="340">SUM(H449:L449)</f>
        <v>0</v>
      </c>
      <c r="G449" s="147"/>
      <c r="H449" s="148">
        <f>E449*0</f>
        <v>0</v>
      </c>
      <c r="I449" s="148"/>
      <c r="J449" s="148"/>
      <c r="K449" s="148"/>
      <c r="L449" s="148"/>
      <c r="M449" s="148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</row>
    <row r="450" spans="1:26" ht="13.5" customHeight="1" x14ac:dyDescent="0.3">
      <c r="A450" s="43" t="s">
        <v>323</v>
      </c>
      <c r="B450" s="63"/>
      <c r="C450" s="46"/>
      <c r="D450" s="43" t="s">
        <v>93</v>
      </c>
      <c r="E450" s="131">
        <v>7</v>
      </c>
      <c r="F450" s="45">
        <f t="shared" si="340"/>
        <v>35</v>
      </c>
      <c r="G450" s="45"/>
      <c r="H450" s="78">
        <f t="shared" ref="H450:M450" si="341">$E450</f>
        <v>7</v>
      </c>
      <c r="I450" s="78">
        <f t="shared" si="341"/>
        <v>7</v>
      </c>
      <c r="J450" s="78">
        <f t="shared" si="341"/>
        <v>7</v>
      </c>
      <c r="K450" s="78">
        <f t="shared" si="341"/>
        <v>7</v>
      </c>
      <c r="L450" s="78">
        <f t="shared" si="341"/>
        <v>7</v>
      </c>
      <c r="M450" s="78">
        <f t="shared" si="341"/>
        <v>7</v>
      </c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3.5" customHeight="1" x14ac:dyDescent="0.3">
      <c r="A451" s="43" t="s">
        <v>324</v>
      </c>
      <c r="B451" s="43" t="s">
        <v>325</v>
      </c>
      <c r="C451" s="46"/>
      <c r="D451" s="43" t="s">
        <v>93</v>
      </c>
      <c r="E451" s="131">
        <v>0.3</v>
      </c>
      <c r="F451" s="45">
        <f t="shared" si="340"/>
        <v>189.20050290189548</v>
      </c>
      <c r="G451" s="45"/>
      <c r="H451" s="46">
        <f t="shared" ref="H451:M451" si="342">$E451*H$250/1000</f>
        <v>6.6903988503270684</v>
      </c>
      <c r="I451" s="46">
        <f t="shared" si="342"/>
        <v>14.896990612555305</v>
      </c>
      <c r="J451" s="46">
        <f t="shared" si="342"/>
        <v>27.805475921106186</v>
      </c>
      <c r="K451" s="46">
        <f t="shared" si="342"/>
        <v>50.975160308479339</v>
      </c>
      <c r="L451" s="46">
        <f t="shared" si="342"/>
        <v>88.832477209427566</v>
      </c>
      <c r="M451" s="46">
        <f t="shared" si="342"/>
        <v>104.08236086688268</v>
      </c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3.5" customHeight="1" x14ac:dyDescent="0.3">
      <c r="A452" s="43" t="s">
        <v>326</v>
      </c>
      <c r="B452" s="43" t="s">
        <v>327</v>
      </c>
      <c r="C452" s="46"/>
      <c r="D452" s="43" t="s">
        <v>93</v>
      </c>
      <c r="E452" s="131"/>
      <c r="F452" s="45">
        <f t="shared" si="340"/>
        <v>0</v>
      </c>
      <c r="G452" s="45"/>
      <c r="H452" s="46">
        <f t="shared" ref="H452:M452" si="343">FVSCHEDULE($E452,$H$475:H$475)</f>
        <v>0</v>
      </c>
      <c r="I452" s="46">
        <f t="shared" si="343"/>
        <v>0</v>
      </c>
      <c r="J452" s="46">
        <f t="shared" si="343"/>
        <v>0</v>
      </c>
      <c r="K452" s="46">
        <f t="shared" si="343"/>
        <v>0</v>
      </c>
      <c r="L452" s="46">
        <f t="shared" si="343"/>
        <v>0</v>
      </c>
      <c r="M452" s="46">
        <f t="shared" si="343"/>
        <v>0</v>
      </c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3.5" customHeight="1" x14ac:dyDescent="0.3">
      <c r="A453" s="43" t="s">
        <v>328</v>
      </c>
      <c r="B453" s="43" t="s">
        <v>327</v>
      </c>
      <c r="C453" s="46"/>
      <c r="D453" s="43" t="s">
        <v>93</v>
      </c>
      <c r="E453" s="131">
        <v>1</v>
      </c>
      <c r="F453" s="45">
        <f t="shared" si="340"/>
        <v>618.90201350522807</v>
      </c>
      <c r="G453" s="45"/>
      <c r="H453" s="46">
        <f>$E453*H$200/1000</f>
        <v>10.535000000000002</v>
      </c>
      <c r="I453" s="46">
        <f t="shared" ref="I453:M453" si="344">$E453*I$250/1000</f>
        <v>49.656635375184351</v>
      </c>
      <c r="J453" s="46">
        <f t="shared" si="344"/>
        <v>92.684919737020621</v>
      </c>
      <c r="K453" s="46">
        <f t="shared" si="344"/>
        <v>169.91720102826449</v>
      </c>
      <c r="L453" s="46">
        <f t="shared" si="344"/>
        <v>296.10825736475857</v>
      </c>
      <c r="M453" s="46">
        <f t="shared" si="344"/>
        <v>346.94120288960892</v>
      </c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3.5" customHeight="1" x14ac:dyDescent="0.3">
      <c r="A454" s="43" t="s">
        <v>329</v>
      </c>
      <c r="B454" s="43" t="s">
        <v>327</v>
      </c>
      <c r="C454" s="46"/>
      <c r="D454" s="43" t="s">
        <v>93</v>
      </c>
      <c r="E454" s="131">
        <v>0</v>
      </c>
      <c r="F454" s="45">
        <f t="shared" si="340"/>
        <v>0</v>
      </c>
      <c r="G454" s="45"/>
      <c r="H454" s="46">
        <f t="shared" ref="H454:I454" si="345">FVSCHEDULE($E454,$H$475:H$475)</f>
        <v>0</v>
      </c>
      <c r="I454" s="46">
        <f t="shared" si="345"/>
        <v>0</v>
      </c>
      <c r="J454" s="44">
        <v>0</v>
      </c>
      <c r="K454" s="44">
        <v>0</v>
      </c>
      <c r="L454" s="44">
        <v>0</v>
      </c>
      <c r="M454" s="44">
        <v>0</v>
      </c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3.5" customHeight="1" x14ac:dyDescent="0.3">
      <c r="A455" s="43" t="s">
        <v>330</v>
      </c>
      <c r="B455" s="43" t="s">
        <v>331</v>
      </c>
      <c r="C455" s="46"/>
      <c r="D455" s="43" t="s">
        <v>93</v>
      </c>
      <c r="E455" s="62">
        <v>0.5</v>
      </c>
      <c r="F455" s="45">
        <f t="shared" si="340"/>
        <v>2260.7739782633903</v>
      </c>
      <c r="G455" s="45"/>
      <c r="H455" s="46">
        <f t="shared" ref="H455:M455" si="346">$E455*H$208/1000</f>
        <v>53.9213805033867</v>
      </c>
      <c r="I455" s="46">
        <f t="shared" si="346"/>
        <v>141.95664919392703</v>
      </c>
      <c r="J455" s="46">
        <f t="shared" si="346"/>
        <v>273.27027258154476</v>
      </c>
      <c r="K455" s="46">
        <f t="shared" si="346"/>
        <v>603.06035737648381</v>
      </c>
      <c r="L455" s="46">
        <f t="shared" si="346"/>
        <v>1188.5653186080481</v>
      </c>
      <c r="M455" s="46">
        <f t="shared" si="346"/>
        <v>1276.999249126334</v>
      </c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3.5" customHeight="1" x14ac:dyDescent="0.3">
      <c r="A456" s="43" t="s">
        <v>332</v>
      </c>
      <c r="B456" s="43" t="s">
        <v>333</v>
      </c>
      <c r="C456" s="46"/>
      <c r="D456" s="43" t="s">
        <v>93</v>
      </c>
      <c r="E456" s="50">
        <v>0</v>
      </c>
      <c r="F456" s="45">
        <f t="shared" si="340"/>
        <v>0</v>
      </c>
      <c r="G456" s="45"/>
      <c r="H456" s="46">
        <f t="shared" ref="H456:M456" si="347">$E456*H$51</f>
        <v>0</v>
      </c>
      <c r="I456" s="46">
        <f t="shared" si="347"/>
        <v>0</v>
      </c>
      <c r="J456" s="46">
        <f t="shared" si="347"/>
        <v>0</v>
      </c>
      <c r="K456" s="46">
        <f t="shared" si="347"/>
        <v>0</v>
      </c>
      <c r="L456" s="46">
        <f t="shared" si="347"/>
        <v>0</v>
      </c>
      <c r="M456" s="46">
        <f t="shared" si="347"/>
        <v>0</v>
      </c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3.5" customHeight="1" x14ac:dyDescent="0.3">
      <c r="A457" s="43" t="s">
        <v>334</v>
      </c>
      <c r="B457" s="43" t="s">
        <v>333</v>
      </c>
      <c r="C457" s="43"/>
      <c r="D457" s="43" t="s">
        <v>93</v>
      </c>
      <c r="E457" s="142">
        <v>5.0000000000000001E-3</v>
      </c>
      <c r="F457" s="45">
        <f t="shared" si="340"/>
        <v>289.58876112338032</v>
      </c>
      <c r="G457" s="45"/>
      <c r="H457" s="46">
        <f t="shared" ref="H457:M457" si="348">$E457*H$51</f>
        <v>6.2679285714285724</v>
      </c>
      <c r="I457" s="46">
        <f t="shared" si="348"/>
        <v>21.602741500000004</v>
      </c>
      <c r="J457" s="46">
        <f t="shared" si="348"/>
        <v>41.382581681000005</v>
      </c>
      <c r="K457" s="46">
        <f t="shared" si="348"/>
        <v>78.307252508052997</v>
      </c>
      <c r="L457" s="46">
        <f t="shared" si="348"/>
        <v>142.0282568628987</v>
      </c>
      <c r="M457" s="46">
        <f t="shared" si="348"/>
        <v>157.77655568731828</v>
      </c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3.5" customHeight="1" x14ac:dyDescent="0.3">
      <c r="A458" s="43" t="s">
        <v>335</v>
      </c>
      <c r="B458" s="43" t="s">
        <v>336</v>
      </c>
      <c r="C458" s="131">
        <v>10</v>
      </c>
      <c r="D458" s="43" t="s">
        <v>93</v>
      </c>
      <c r="E458" s="142">
        <v>0.02</v>
      </c>
      <c r="F458" s="45">
        <f t="shared" si="340"/>
        <v>1308.3550444935213</v>
      </c>
      <c r="G458" s="45"/>
      <c r="H458" s="46">
        <f>$E458*(H$51)+$C$458+100</f>
        <v>135.07171428571428</v>
      </c>
      <c r="I458" s="46">
        <f t="shared" ref="I458:M458" si="349">$E458*(I$51)+$C$458</f>
        <v>96.410966000000016</v>
      </c>
      <c r="J458" s="46">
        <f t="shared" si="349"/>
        <v>175.53032672400002</v>
      </c>
      <c r="K458" s="46">
        <f t="shared" si="349"/>
        <v>323.22901003221199</v>
      </c>
      <c r="L458" s="46">
        <f t="shared" si="349"/>
        <v>578.1130274515948</v>
      </c>
      <c r="M458" s="46">
        <f t="shared" si="349"/>
        <v>641.10622274927312</v>
      </c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3.5" customHeight="1" x14ac:dyDescent="0.3">
      <c r="A459" s="43" t="s">
        <v>337</v>
      </c>
      <c r="B459" s="43" t="s">
        <v>336</v>
      </c>
      <c r="C459" s="131">
        <v>10</v>
      </c>
      <c r="D459" s="43" t="s">
        <v>93</v>
      </c>
      <c r="E459" s="142">
        <v>2E-3</v>
      </c>
      <c r="F459" s="45">
        <f t="shared" si="340"/>
        <v>165.83550444935213</v>
      </c>
      <c r="G459" s="45"/>
      <c r="H459" s="46">
        <f t="shared" ref="H459:M459" si="350">$E459*(H$51)+$C$459</f>
        <v>12.507171428571429</v>
      </c>
      <c r="I459" s="46">
        <f t="shared" si="350"/>
        <v>18.641096600000001</v>
      </c>
      <c r="J459" s="46">
        <f t="shared" si="350"/>
        <v>26.553032672400001</v>
      </c>
      <c r="K459" s="46">
        <f t="shared" si="350"/>
        <v>41.322901003221205</v>
      </c>
      <c r="L459" s="46">
        <f t="shared" si="350"/>
        <v>66.81130274515948</v>
      </c>
      <c r="M459" s="46">
        <f t="shared" si="350"/>
        <v>73.110622274927323</v>
      </c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3.5" customHeight="1" x14ac:dyDescent="0.3">
      <c r="A460" s="43" t="s">
        <v>338</v>
      </c>
      <c r="B460" s="43" t="s">
        <v>336</v>
      </c>
      <c r="C460" s="131">
        <v>5</v>
      </c>
      <c r="D460" s="43" t="s">
        <v>93</v>
      </c>
      <c r="E460" s="142">
        <v>7.0000000000000001E-3</v>
      </c>
      <c r="F460" s="45">
        <f t="shared" si="340"/>
        <v>416.64916557273239</v>
      </c>
      <c r="G460" s="45"/>
      <c r="H460" s="150">
        <v>0</v>
      </c>
      <c r="I460" s="46">
        <f t="shared" ref="I460:M460" si="351">$E460*(I$51)+$C$460</f>
        <v>35.243838100000005</v>
      </c>
      <c r="J460" s="46">
        <f t="shared" si="351"/>
        <v>62.935614353400005</v>
      </c>
      <c r="K460" s="46">
        <f t="shared" si="351"/>
        <v>114.6301535112742</v>
      </c>
      <c r="L460" s="46">
        <f t="shared" si="351"/>
        <v>203.83955960805818</v>
      </c>
      <c r="M460" s="46">
        <f t="shared" si="351"/>
        <v>225.8871779622456</v>
      </c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3.5" customHeight="1" x14ac:dyDescent="0.3">
      <c r="A461" s="43" t="s">
        <v>339</v>
      </c>
      <c r="B461" s="43" t="s">
        <v>336</v>
      </c>
      <c r="C461" s="131">
        <v>5</v>
      </c>
      <c r="D461" s="43" t="s">
        <v>93</v>
      </c>
      <c r="E461" s="142">
        <v>5.0000000000000001E-4</v>
      </c>
      <c r="F461" s="45">
        <f t="shared" si="340"/>
        <v>53.958876112338032</v>
      </c>
      <c r="G461" s="45"/>
      <c r="H461" s="46">
        <f t="shared" ref="H461:M461" si="352">$E461*(H$51)+$C$461</f>
        <v>5.6267928571428572</v>
      </c>
      <c r="I461" s="46">
        <f t="shared" si="352"/>
        <v>7.1602741500000002</v>
      </c>
      <c r="J461" s="46">
        <f t="shared" si="352"/>
        <v>9.1382581681000001</v>
      </c>
      <c r="K461" s="46">
        <f t="shared" si="352"/>
        <v>12.830725250805301</v>
      </c>
      <c r="L461" s="46">
        <f t="shared" si="352"/>
        <v>19.20282568628987</v>
      </c>
      <c r="M461" s="46">
        <f t="shared" si="352"/>
        <v>20.777655568731831</v>
      </c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3.5" customHeight="1" x14ac:dyDescent="0.3">
      <c r="A462" s="43" t="s">
        <v>340</v>
      </c>
      <c r="B462" s="43" t="s">
        <v>336</v>
      </c>
      <c r="C462" s="131">
        <v>5</v>
      </c>
      <c r="D462" s="43" t="s">
        <v>93</v>
      </c>
      <c r="E462" s="142">
        <v>3.0000000000000001E-3</v>
      </c>
      <c r="F462" s="45">
        <f t="shared" si="340"/>
        <v>198.75325667402817</v>
      </c>
      <c r="G462" s="45"/>
      <c r="H462" s="46">
        <f t="shared" ref="H462:M462" si="353">$E462*(H$51)+$C$462</f>
        <v>8.7607571428571429</v>
      </c>
      <c r="I462" s="46">
        <f t="shared" si="353"/>
        <v>17.961644900000003</v>
      </c>
      <c r="J462" s="46">
        <f t="shared" si="353"/>
        <v>29.829549008600001</v>
      </c>
      <c r="K462" s="46">
        <f t="shared" si="353"/>
        <v>51.9843515048318</v>
      </c>
      <c r="L462" s="46">
        <f t="shared" si="353"/>
        <v>90.21695411773922</v>
      </c>
      <c r="M462" s="46">
        <f t="shared" si="353"/>
        <v>99.66593341239097</v>
      </c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3.5" customHeight="1" x14ac:dyDescent="0.3">
      <c r="A463" s="43" t="s">
        <v>341</v>
      </c>
      <c r="B463" s="43" t="s">
        <v>342</v>
      </c>
      <c r="C463" s="46"/>
      <c r="D463" s="43" t="s">
        <v>93</v>
      </c>
      <c r="E463" s="50">
        <v>0.04</v>
      </c>
      <c r="F463" s="45">
        <f t="shared" si="340"/>
        <v>2316.7100889870426</v>
      </c>
      <c r="G463" s="45"/>
      <c r="H463" s="46">
        <f t="shared" ref="H463:M463" si="354">$E463*H$51</f>
        <v>50.143428571428579</v>
      </c>
      <c r="I463" s="46">
        <f t="shared" si="354"/>
        <v>172.82193200000003</v>
      </c>
      <c r="J463" s="46">
        <f t="shared" si="354"/>
        <v>331.06065344800004</v>
      </c>
      <c r="K463" s="46">
        <f t="shared" si="354"/>
        <v>626.45802006442398</v>
      </c>
      <c r="L463" s="46">
        <f t="shared" si="354"/>
        <v>1136.2260549031896</v>
      </c>
      <c r="M463" s="46">
        <f t="shared" si="354"/>
        <v>1262.2124454985462</v>
      </c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3.5" customHeight="1" x14ac:dyDescent="0.3">
      <c r="A464" s="43" t="s">
        <v>343</v>
      </c>
      <c r="B464" s="43" t="s">
        <v>327</v>
      </c>
      <c r="C464" s="43"/>
      <c r="D464" s="43" t="s">
        <v>93</v>
      </c>
      <c r="E464" s="131">
        <v>10</v>
      </c>
      <c r="F464" s="45">
        <f t="shared" si="340"/>
        <v>51.010050100000001</v>
      </c>
      <c r="G464" s="45"/>
      <c r="H464" s="46">
        <f t="shared" ref="H464:M464" si="355">FVSCHEDULE($E464,$H$475:H$475)</f>
        <v>10</v>
      </c>
      <c r="I464" s="46">
        <f t="shared" si="355"/>
        <v>10.1</v>
      </c>
      <c r="J464" s="46">
        <f t="shared" si="355"/>
        <v>10.201000000000001</v>
      </c>
      <c r="K464" s="46">
        <f t="shared" si="355"/>
        <v>10.30301</v>
      </c>
      <c r="L464" s="46">
        <f t="shared" si="355"/>
        <v>10.4060401</v>
      </c>
      <c r="M464" s="46">
        <f t="shared" si="355"/>
        <v>10.510100501</v>
      </c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3.5" customHeight="1" x14ac:dyDescent="0.3">
      <c r="A465" s="43" t="s">
        <v>344</v>
      </c>
      <c r="B465" s="43" t="s">
        <v>327</v>
      </c>
      <c r="C465" s="43"/>
      <c r="D465" s="43" t="s">
        <v>93</v>
      </c>
      <c r="E465" s="131">
        <v>10</v>
      </c>
      <c r="F465" s="45">
        <f t="shared" si="340"/>
        <v>51.010050100000001</v>
      </c>
      <c r="G465" s="45"/>
      <c r="H465" s="46">
        <f t="shared" ref="H465:M465" si="356">FVSCHEDULE($E465,$H$475:H$475)</f>
        <v>10</v>
      </c>
      <c r="I465" s="46">
        <f t="shared" si="356"/>
        <v>10.1</v>
      </c>
      <c r="J465" s="46">
        <f t="shared" si="356"/>
        <v>10.201000000000001</v>
      </c>
      <c r="K465" s="46">
        <f t="shared" si="356"/>
        <v>10.30301</v>
      </c>
      <c r="L465" s="46">
        <f t="shared" si="356"/>
        <v>10.4060401</v>
      </c>
      <c r="M465" s="46">
        <f t="shared" si="356"/>
        <v>10.510100501</v>
      </c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3.5" customHeight="1" x14ac:dyDescent="0.3">
      <c r="A466" s="43" t="s">
        <v>345</v>
      </c>
      <c r="B466" s="43" t="s">
        <v>327</v>
      </c>
      <c r="C466" s="43"/>
      <c r="D466" s="43" t="s">
        <v>93</v>
      </c>
      <c r="E466" s="131">
        <v>10</v>
      </c>
      <c r="F466" s="45">
        <f t="shared" si="340"/>
        <v>51.010050100000001</v>
      </c>
      <c r="G466" s="45"/>
      <c r="H466" s="46">
        <f t="shared" ref="H466:M466" si="357">FVSCHEDULE($E466,$H$475:H$475)</f>
        <v>10</v>
      </c>
      <c r="I466" s="46">
        <f t="shared" si="357"/>
        <v>10.1</v>
      </c>
      <c r="J466" s="46">
        <f t="shared" si="357"/>
        <v>10.201000000000001</v>
      </c>
      <c r="K466" s="46">
        <f t="shared" si="357"/>
        <v>10.30301</v>
      </c>
      <c r="L466" s="46">
        <f t="shared" si="357"/>
        <v>10.4060401</v>
      </c>
      <c r="M466" s="46">
        <f t="shared" si="357"/>
        <v>10.510100501</v>
      </c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3.5" customHeight="1" x14ac:dyDescent="0.3">
      <c r="A467" s="43" t="s">
        <v>346</v>
      </c>
      <c r="B467" s="43" t="s">
        <v>327</v>
      </c>
      <c r="C467" s="43"/>
      <c r="D467" s="43" t="s">
        <v>93</v>
      </c>
      <c r="E467" s="131">
        <v>5</v>
      </c>
      <c r="F467" s="45">
        <f t="shared" si="340"/>
        <v>25.50502505</v>
      </c>
      <c r="G467" s="45"/>
      <c r="H467" s="46">
        <f t="shared" ref="H467:M467" si="358">FVSCHEDULE($E467,$H$475:H$475)</f>
        <v>5</v>
      </c>
      <c r="I467" s="46">
        <f t="shared" si="358"/>
        <v>5.05</v>
      </c>
      <c r="J467" s="46">
        <f t="shared" si="358"/>
        <v>5.1005000000000003</v>
      </c>
      <c r="K467" s="46">
        <f t="shared" si="358"/>
        <v>5.1515050000000002</v>
      </c>
      <c r="L467" s="46">
        <f t="shared" si="358"/>
        <v>5.2030200500000001</v>
      </c>
      <c r="M467" s="46">
        <f t="shared" si="358"/>
        <v>5.2550502505000001</v>
      </c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3.5" customHeight="1" x14ac:dyDescent="0.3">
      <c r="A468" s="43" t="s">
        <v>347</v>
      </c>
      <c r="B468" s="43" t="s">
        <v>325</v>
      </c>
      <c r="C468" s="46"/>
      <c r="D468" s="43" t="s">
        <v>93</v>
      </c>
      <c r="E468" s="131">
        <v>0.1</v>
      </c>
      <c r="F468" s="45">
        <f t="shared" si="340"/>
        <v>63.066834300631825</v>
      </c>
      <c r="G468" s="45"/>
      <c r="H468" s="46">
        <f t="shared" ref="H468:M468" si="359">$E468*H$250/1000</f>
        <v>2.2301329501090232</v>
      </c>
      <c r="I468" s="46">
        <f t="shared" si="359"/>
        <v>4.9656635375184353</v>
      </c>
      <c r="J468" s="46">
        <f t="shared" si="359"/>
        <v>9.2684919737020621</v>
      </c>
      <c r="K468" s="46">
        <f t="shared" si="359"/>
        <v>16.991720102826449</v>
      </c>
      <c r="L468" s="46">
        <f t="shared" si="359"/>
        <v>29.61082573647586</v>
      </c>
      <c r="M468" s="46">
        <f t="shared" si="359"/>
        <v>34.694120288960889</v>
      </c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3.5" customHeight="1" x14ac:dyDescent="0.3">
      <c r="A469" s="43" t="s">
        <v>348</v>
      </c>
      <c r="B469" s="43" t="s">
        <v>349</v>
      </c>
      <c r="C469" s="46"/>
      <c r="D469" s="43" t="s">
        <v>93</v>
      </c>
      <c r="E469" s="131"/>
      <c r="F469" s="45">
        <f t="shared" si="340"/>
        <v>0</v>
      </c>
      <c r="G469" s="45"/>
      <c r="H469" s="78">
        <f t="shared" ref="H469:M469" si="360">$E469*H$250/10000</f>
        <v>0</v>
      </c>
      <c r="I469" s="78">
        <f t="shared" si="360"/>
        <v>0</v>
      </c>
      <c r="J469" s="78">
        <f t="shared" si="360"/>
        <v>0</v>
      </c>
      <c r="K469" s="78">
        <f t="shared" si="360"/>
        <v>0</v>
      </c>
      <c r="L469" s="78">
        <f t="shared" si="360"/>
        <v>0</v>
      </c>
      <c r="M469" s="78">
        <f t="shared" si="360"/>
        <v>0</v>
      </c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3.5" customHeight="1" x14ac:dyDescent="0.3">
      <c r="A470" s="43" t="s">
        <v>350</v>
      </c>
      <c r="B470" s="43" t="s">
        <v>349</v>
      </c>
      <c r="C470" s="46"/>
      <c r="D470" s="43" t="s">
        <v>93</v>
      </c>
      <c r="E470" s="151"/>
      <c r="F470" s="45">
        <f t="shared" si="340"/>
        <v>0</v>
      </c>
      <c r="G470" s="45"/>
      <c r="H470" s="78">
        <f t="shared" ref="H470:M470" si="361">$E470*H$250/10000</f>
        <v>0</v>
      </c>
      <c r="I470" s="78">
        <f t="shared" si="361"/>
        <v>0</v>
      </c>
      <c r="J470" s="78">
        <f t="shared" si="361"/>
        <v>0</v>
      </c>
      <c r="K470" s="78">
        <f t="shared" si="361"/>
        <v>0</v>
      </c>
      <c r="L470" s="78">
        <f t="shared" si="361"/>
        <v>0</v>
      </c>
      <c r="M470" s="78">
        <f t="shared" si="361"/>
        <v>0</v>
      </c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3.5" customHeight="1" x14ac:dyDescent="0.3">
      <c r="A471" s="43" t="s">
        <v>351</v>
      </c>
      <c r="B471" s="43" t="s">
        <v>342</v>
      </c>
      <c r="C471" s="46"/>
      <c r="D471" s="43" t="s">
        <v>93</v>
      </c>
      <c r="E471" s="50">
        <v>0</v>
      </c>
      <c r="F471" s="45">
        <f t="shared" si="340"/>
        <v>0</v>
      </c>
      <c r="G471" s="45"/>
      <c r="H471" s="46">
        <f t="shared" ref="H471:M471" si="362">$E471*H$51</f>
        <v>0</v>
      </c>
      <c r="I471" s="46">
        <f t="shared" si="362"/>
        <v>0</v>
      </c>
      <c r="J471" s="46">
        <f t="shared" si="362"/>
        <v>0</v>
      </c>
      <c r="K471" s="46">
        <f t="shared" si="362"/>
        <v>0</v>
      </c>
      <c r="L471" s="46">
        <f t="shared" si="362"/>
        <v>0</v>
      </c>
      <c r="M471" s="46">
        <f t="shared" si="362"/>
        <v>0</v>
      </c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3.5" customHeight="1" x14ac:dyDescent="0.3">
      <c r="A472" s="43" t="s">
        <v>352</v>
      </c>
      <c r="B472" s="43" t="s">
        <v>327</v>
      </c>
      <c r="C472" s="43"/>
      <c r="D472" s="43" t="s">
        <v>93</v>
      </c>
      <c r="E472" s="131">
        <v>15</v>
      </c>
      <c r="F472" s="45">
        <f t="shared" si="340"/>
        <v>76.515075150000001</v>
      </c>
      <c r="G472" s="45"/>
      <c r="H472" s="46">
        <f t="shared" ref="H472:M472" si="363">FVSCHEDULE($E472,$H$475:H$475)</f>
        <v>15</v>
      </c>
      <c r="I472" s="46">
        <f t="shared" si="363"/>
        <v>15.15</v>
      </c>
      <c r="J472" s="46">
        <f t="shared" si="363"/>
        <v>15.301500000000001</v>
      </c>
      <c r="K472" s="46">
        <f t="shared" si="363"/>
        <v>15.454515000000001</v>
      </c>
      <c r="L472" s="46">
        <f t="shared" si="363"/>
        <v>15.609060150000001</v>
      </c>
      <c r="M472" s="46">
        <f t="shared" si="363"/>
        <v>15.765150751500002</v>
      </c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3.5" customHeight="1" x14ac:dyDescent="0.3">
      <c r="A473" s="43" t="s">
        <v>225</v>
      </c>
      <c r="B473" s="43" t="s">
        <v>327</v>
      </c>
      <c r="C473" s="43"/>
      <c r="D473" s="43" t="s">
        <v>93</v>
      </c>
      <c r="E473" s="131">
        <v>0</v>
      </c>
      <c r="F473" s="45">
        <f t="shared" si="340"/>
        <v>0</v>
      </c>
      <c r="G473" s="45"/>
      <c r="H473" s="46">
        <f t="shared" ref="H473:M473" si="364">FVSCHEDULE($E473,$H$475:H$475)</f>
        <v>0</v>
      </c>
      <c r="I473" s="46">
        <f t="shared" si="364"/>
        <v>0</v>
      </c>
      <c r="J473" s="46">
        <f t="shared" si="364"/>
        <v>0</v>
      </c>
      <c r="K473" s="46">
        <f t="shared" si="364"/>
        <v>0</v>
      </c>
      <c r="L473" s="46">
        <f t="shared" si="364"/>
        <v>0</v>
      </c>
      <c r="M473" s="46">
        <f t="shared" si="364"/>
        <v>0</v>
      </c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3.5" customHeight="1" x14ac:dyDescent="0.3">
      <c r="A474" s="63" t="s">
        <v>353</v>
      </c>
      <c r="B474" s="63"/>
      <c r="C474" s="63"/>
      <c r="D474" s="63" t="s">
        <v>93</v>
      </c>
      <c r="E474" s="137"/>
      <c r="F474" s="45">
        <f t="shared" si="340"/>
        <v>8171.8442768835403</v>
      </c>
      <c r="G474" s="45"/>
      <c r="H474" s="45">
        <f t="shared" ref="H474:M474" si="365">SUM(H449:H473)</f>
        <v>348.75470516096561</v>
      </c>
      <c r="I474" s="45">
        <f t="shared" si="365"/>
        <v>638.81843196918533</v>
      </c>
      <c r="J474" s="45">
        <f t="shared" si="365"/>
        <v>1137.4641762688739</v>
      </c>
      <c r="K474" s="45">
        <f t="shared" si="365"/>
        <v>2148.2219026908751</v>
      </c>
      <c r="L474" s="45">
        <f t="shared" si="365"/>
        <v>3898.58506079364</v>
      </c>
      <c r="M474" s="45">
        <f t="shared" si="365"/>
        <v>4302.8040488302204</v>
      </c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3.5" customHeight="1" x14ac:dyDescent="0.3">
      <c r="A475" s="43" t="s">
        <v>354</v>
      </c>
      <c r="B475" s="43"/>
      <c r="C475" s="43"/>
      <c r="D475" s="133" t="s">
        <v>121</v>
      </c>
      <c r="E475" s="48">
        <v>0.01</v>
      </c>
      <c r="F475" s="134"/>
      <c r="G475" s="134"/>
      <c r="H475" s="48">
        <v>0</v>
      </c>
      <c r="I475" s="75">
        <f>E475</f>
        <v>0.01</v>
      </c>
      <c r="J475" s="75">
        <f t="shared" ref="J475:M475" si="366">I475</f>
        <v>0.01</v>
      </c>
      <c r="K475" s="75">
        <f t="shared" si="366"/>
        <v>0.01</v>
      </c>
      <c r="L475" s="75">
        <f t="shared" si="366"/>
        <v>0.01</v>
      </c>
      <c r="M475" s="75">
        <f t="shared" si="366"/>
        <v>0.01</v>
      </c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3.5" customHeight="1" x14ac:dyDescent="0.3">
      <c r="A476" s="43"/>
      <c r="B476" s="43"/>
      <c r="C476" s="43"/>
      <c r="D476" s="43"/>
      <c r="E476" s="44"/>
      <c r="F476" s="45"/>
      <c r="G476" s="45"/>
      <c r="H476" s="85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3.5" customHeight="1" x14ac:dyDescent="0.3">
      <c r="A477" s="40" t="s">
        <v>355</v>
      </c>
      <c r="B477" s="68"/>
      <c r="C477" s="68"/>
      <c r="D477" s="40" t="s">
        <v>89</v>
      </c>
      <c r="E477" s="39" t="s">
        <v>115</v>
      </c>
      <c r="F477" s="39" t="s">
        <v>142</v>
      </c>
      <c r="G477" s="39"/>
      <c r="H477" s="57">
        <f t="shared" ref="H477:M477" si="367">H$58</f>
        <v>2022</v>
      </c>
      <c r="I477" s="57">
        <f t="shared" si="367"/>
        <v>2023</v>
      </c>
      <c r="J477" s="57">
        <f t="shared" si="367"/>
        <v>2024</v>
      </c>
      <c r="K477" s="57">
        <f t="shared" si="367"/>
        <v>2025</v>
      </c>
      <c r="L477" s="57">
        <f t="shared" si="367"/>
        <v>2026</v>
      </c>
      <c r="M477" s="57">
        <f t="shared" si="367"/>
        <v>2027</v>
      </c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3.5" customHeight="1" x14ac:dyDescent="0.3">
      <c r="A478" s="43"/>
      <c r="B478" s="43"/>
      <c r="C478" s="43"/>
      <c r="D478" s="43"/>
      <c r="E478" s="44"/>
      <c r="F478" s="45"/>
      <c r="G478" s="45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3.5" customHeight="1" x14ac:dyDescent="0.3">
      <c r="A479" s="63" t="s">
        <v>356</v>
      </c>
      <c r="B479" s="63" t="s">
        <v>306</v>
      </c>
      <c r="C479" s="43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3.5" customHeight="1" x14ac:dyDescent="0.3">
      <c r="A480" s="43" t="s">
        <v>357</v>
      </c>
      <c r="B480" s="43" t="s">
        <v>311</v>
      </c>
      <c r="C480" s="43"/>
      <c r="D480" s="43" t="s">
        <v>93</v>
      </c>
      <c r="E480" s="131">
        <v>0.5</v>
      </c>
      <c r="F480" s="45">
        <f t="shared" ref="F480:F492" si="368">SUM(H480:L480)</f>
        <v>61.508006480000006</v>
      </c>
      <c r="G480" s="45"/>
      <c r="H480" s="131">
        <v>10</v>
      </c>
      <c r="I480" s="131">
        <v>10</v>
      </c>
      <c r="J480" s="78">
        <f t="shared" ref="J480:M480" si="369">FVSCHEDULE($E480*(J407-J406),$H$493:J$493)</f>
        <v>10.404</v>
      </c>
      <c r="K480" s="78">
        <f t="shared" si="369"/>
        <v>14.326307999999999</v>
      </c>
      <c r="L480" s="78">
        <f t="shared" si="369"/>
        <v>16.777698480000002</v>
      </c>
      <c r="M480" s="78">
        <f t="shared" si="369"/>
        <v>18.217333252800007</v>
      </c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3.5" customHeight="1" x14ac:dyDescent="0.3">
      <c r="A481" s="43" t="s">
        <v>358</v>
      </c>
      <c r="B481" s="43" t="s">
        <v>311</v>
      </c>
      <c r="C481" s="43"/>
      <c r="D481" s="43" t="s">
        <v>93</v>
      </c>
      <c r="E481" s="131">
        <v>0.3</v>
      </c>
      <c r="F481" s="45">
        <f t="shared" si="368"/>
        <v>30.904803887999996</v>
      </c>
      <c r="G481" s="45"/>
      <c r="H481" s="78">
        <f t="shared" ref="H481:M481" si="370">FVSCHEDULE($E481*(H$407-H$406),$H$493:H$493)</f>
        <v>1.41</v>
      </c>
      <c r="I481" s="78">
        <f t="shared" si="370"/>
        <v>4.59</v>
      </c>
      <c r="J481" s="78">
        <f t="shared" si="370"/>
        <v>6.2423999999999999</v>
      </c>
      <c r="K481" s="78">
        <f t="shared" si="370"/>
        <v>8.5957848000000006</v>
      </c>
      <c r="L481" s="78">
        <f t="shared" si="370"/>
        <v>10.066619087999998</v>
      </c>
      <c r="M481" s="78">
        <f t="shared" si="370"/>
        <v>10.930399951680002</v>
      </c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3.5" customHeight="1" x14ac:dyDescent="0.3">
      <c r="A482" s="43" t="s">
        <v>359</v>
      </c>
      <c r="B482" s="43" t="s">
        <v>311</v>
      </c>
      <c r="C482" s="43"/>
      <c r="D482" s="43" t="s">
        <v>93</v>
      </c>
      <c r="E482" s="131">
        <v>0.1</v>
      </c>
      <c r="F482" s="45">
        <f t="shared" si="368"/>
        <v>10.301601296000001</v>
      </c>
      <c r="G482" s="45"/>
      <c r="H482" s="78">
        <f t="shared" ref="H482:M482" si="371">FVSCHEDULE($E482*(H$407-H$406),$H$493:H$493)</f>
        <v>0.47000000000000003</v>
      </c>
      <c r="I482" s="78">
        <f t="shared" si="371"/>
        <v>1.53</v>
      </c>
      <c r="J482" s="78">
        <f t="shared" si="371"/>
        <v>2.0808</v>
      </c>
      <c r="K482" s="78">
        <f t="shared" si="371"/>
        <v>2.8652616000000006</v>
      </c>
      <c r="L482" s="78">
        <f t="shared" si="371"/>
        <v>3.3555396960000001</v>
      </c>
      <c r="M482" s="78">
        <f t="shared" si="371"/>
        <v>3.6434666505600011</v>
      </c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3.5" customHeight="1" x14ac:dyDescent="0.3">
      <c r="A483" s="43" t="s">
        <v>360</v>
      </c>
      <c r="B483" s="43" t="s">
        <v>311</v>
      </c>
      <c r="C483" s="43"/>
      <c r="D483" s="43" t="s">
        <v>93</v>
      </c>
      <c r="E483" s="131">
        <v>0.1</v>
      </c>
      <c r="F483" s="45">
        <f t="shared" si="368"/>
        <v>8.3016012960000012</v>
      </c>
      <c r="G483" s="45"/>
      <c r="H483" s="131">
        <v>0</v>
      </c>
      <c r="I483" s="131">
        <v>0</v>
      </c>
      <c r="J483" s="78">
        <f t="shared" ref="J483:M483" si="372">FVSCHEDULE($E483*(J$407-J$406),$H$493:J$493)</f>
        <v>2.0808</v>
      </c>
      <c r="K483" s="78">
        <f t="shared" si="372"/>
        <v>2.8652616000000006</v>
      </c>
      <c r="L483" s="78">
        <f t="shared" si="372"/>
        <v>3.3555396960000001</v>
      </c>
      <c r="M483" s="78">
        <f t="shared" si="372"/>
        <v>3.6434666505600011</v>
      </c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3.5" customHeight="1" x14ac:dyDescent="0.3">
      <c r="A484" s="43" t="s">
        <v>361</v>
      </c>
      <c r="B484" s="43" t="s">
        <v>311</v>
      </c>
      <c r="C484" s="43"/>
      <c r="D484" s="43" t="s">
        <v>93</v>
      </c>
      <c r="E484" s="131">
        <v>0.1</v>
      </c>
      <c r="F484" s="45">
        <f t="shared" si="368"/>
        <v>10.301601296000001</v>
      </c>
      <c r="G484" s="45"/>
      <c r="H484" s="78">
        <f t="shared" ref="H484:M484" si="373">FVSCHEDULE($E484*(H$407-H$406),$H$493:H$493)</f>
        <v>0.47000000000000003</v>
      </c>
      <c r="I484" s="78">
        <f t="shared" si="373"/>
        <v>1.53</v>
      </c>
      <c r="J484" s="78">
        <f t="shared" si="373"/>
        <v>2.0808</v>
      </c>
      <c r="K484" s="78">
        <f t="shared" si="373"/>
        <v>2.8652616000000006</v>
      </c>
      <c r="L484" s="78">
        <f t="shared" si="373"/>
        <v>3.3555396960000001</v>
      </c>
      <c r="M484" s="78">
        <f t="shared" si="373"/>
        <v>3.6434666505600011</v>
      </c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3.5" customHeight="1" x14ac:dyDescent="0.3">
      <c r="A485" s="43" t="s">
        <v>362</v>
      </c>
      <c r="B485" s="43" t="s">
        <v>327</v>
      </c>
      <c r="C485" s="43"/>
      <c r="D485" s="43" t="s">
        <v>93</v>
      </c>
      <c r="E485" s="131">
        <v>1</v>
      </c>
      <c r="F485" s="45">
        <f t="shared" si="368"/>
        <v>5.2040401599999999</v>
      </c>
      <c r="G485" s="45"/>
      <c r="H485" s="78">
        <f t="shared" ref="H485:M485" si="374">FVSCHEDULE($E485,$H$493:H$493)</f>
        <v>1</v>
      </c>
      <c r="I485" s="78">
        <f t="shared" si="374"/>
        <v>1.02</v>
      </c>
      <c r="J485" s="78">
        <f t="shared" si="374"/>
        <v>1.0404</v>
      </c>
      <c r="K485" s="78">
        <f t="shared" si="374"/>
        <v>1.0612079999999999</v>
      </c>
      <c r="L485" s="78">
        <f t="shared" si="374"/>
        <v>1.08243216</v>
      </c>
      <c r="M485" s="78">
        <f t="shared" si="374"/>
        <v>1.1040808032</v>
      </c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3.5" customHeight="1" x14ac:dyDescent="0.3">
      <c r="A486" s="43" t="s">
        <v>363</v>
      </c>
      <c r="B486" s="43" t="s">
        <v>311</v>
      </c>
      <c r="C486" s="43"/>
      <c r="D486" s="43" t="s">
        <v>93</v>
      </c>
      <c r="E486" s="131">
        <v>0.1</v>
      </c>
      <c r="F486" s="45">
        <f t="shared" si="368"/>
        <v>10.301601296000001</v>
      </c>
      <c r="G486" s="45"/>
      <c r="H486" s="78">
        <f t="shared" ref="H486:M486" si="375">FVSCHEDULE($E486*(H$407-H$406),$H$493:H$493)</f>
        <v>0.47000000000000003</v>
      </c>
      <c r="I486" s="78">
        <f t="shared" si="375"/>
        <v>1.53</v>
      </c>
      <c r="J486" s="78">
        <f t="shared" si="375"/>
        <v>2.0808</v>
      </c>
      <c r="K486" s="78">
        <f t="shared" si="375"/>
        <v>2.8652616000000006</v>
      </c>
      <c r="L486" s="78">
        <f t="shared" si="375"/>
        <v>3.3555396960000001</v>
      </c>
      <c r="M486" s="78">
        <f t="shared" si="375"/>
        <v>3.6434666505600011</v>
      </c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3.5" customHeight="1" x14ac:dyDescent="0.3">
      <c r="A487" s="43" t="s">
        <v>364</v>
      </c>
      <c r="B487" s="43" t="s">
        <v>311</v>
      </c>
      <c r="C487" s="43"/>
      <c r="D487" s="43" t="s">
        <v>93</v>
      </c>
      <c r="E487" s="131">
        <v>0.1</v>
      </c>
      <c r="F487" s="45">
        <f t="shared" si="368"/>
        <v>10.301601296000001</v>
      </c>
      <c r="G487" s="45"/>
      <c r="H487" s="78">
        <f t="shared" ref="H487:M487" si="376">FVSCHEDULE($E487*(H$407-H$406),$H$493:H$493)</f>
        <v>0.47000000000000003</v>
      </c>
      <c r="I487" s="78">
        <f t="shared" si="376"/>
        <v>1.53</v>
      </c>
      <c r="J487" s="78">
        <f t="shared" si="376"/>
        <v>2.0808</v>
      </c>
      <c r="K487" s="78">
        <f t="shared" si="376"/>
        <v>2.8652616000000006</v>
      </c>
      <c r="L487" s="78">
        <f t="shared" si="376"/>
        <v>3.3555396960000001</v>
      </c>
      <c r="M487" s="78">
        <f t="shared" si="376"/>
        <v>3.6434666505600011</v>
      </c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3.5" customHeight="1" x14ac:dyDescent="0.3">
      <c r="A488" s="43" t="s">
        <v>365</v>
      </c>
      <c r="B488" s="43" t="s">
        <v>327</v>
      </c>
      <c r="C488" s="43"/>
      <c r="D488" s="43" t="s">
        <v>93</v>
      </c>
      <c r="E488" s="131">
        <v>0.5</v>
      </c>
      <c r="F488" s="45">
        <f t="shared" si="368"/>
        <v>2.60202008</v>
      </c>
      <c r="G488" s="45"/>
      <c r="H488" s="78">
        <f t="shared" ref="H488:M488" si="377">FVSCHEDULE($E488,$H$493:H$493)</f>
        <v>0.5</v>
      </c>
      <c r="I488" s="78">
        <f t="shared" si="377"/>
        <v>0.51</v>
      </c>
      <c r="J488" s="78">
        <f t="shared" si="377"/>
        <v>0.5202</v>
      </c>
      <c r="K488" s="78">
        <f t="shared" si="377"/>
        <v>0.53060399999999996</v>
      </c>
      <c r="L488" s="78">
        <f t="shared" si="377"/>
        <v>0.54121607999999999</v>
      </c>
      <c r="M488" s="78">
        <f t="shared" si="377"/>
        <v>0.55204040160000001</v>
      </c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3.5" customHeight="1" x14ac:dyDescent="0.3">
      <c r="A489" s="43" t="s">
        <v>366</v>
      </c>
      <c r="B489" s="43" t="s">
        <v>327</v>
      </c>
      <c r="C489" s="43"/>
      <c r="D489" s="43" t="s">
        <v>93</v>
      </c>
      <c r="E489" s="131">
        <v>5</v>
      </c>
      <c r="F489" s="45">
        <f t="shared" si="368"/>
        <v>26.020200799999998</v>
      </c>
      <c r="G489" s="45"/>
      <c r="H489" s="78">
        <f t="shared" ref="H489:M489" si="378">FVSCHEDULE($E489,$H$493:H$493)</f>
        <v>5</v>
      </c>
      <c r="I489" s="78">
        <f t="shared" si="378"/>
        <v>5.0999999999999996</v>
      </c>
      <c r="J489" s="78">
        <f t="shared" si="378"/>
        <v>5.202</v>
      </c>
      <c r="K489" s="78">
        <f t="shared" si="378"/>
        <v>5.3060400000000003</v>
      </c>
      <c r="L489" s="78">
        <f t="shared" si="378"/>
        <v>5.4121608000000005</v>
      </c>
      <c r="M489" s="78">
        <f t="shared" si="378"/>
        <v>5.5204040160000005</v>
      </c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3.5" customHeight="1" x14ac:dyDescent="0.3">
      <c r="A490" s="43" t="s">
        <v>367</v>
      </c>
      <c r="B490" s="43" t="s">
        <v>327</v>
      </c>
      <c r="C490" s="43"/>
      <c r="D490" s="43" t="s">
        <v>93</v>
      </c>
      <c r="E490" s="131">
        <v>1.5</v>
      </c>
      <c r="F490" s="45">
        <f t="shared" si="368"/>
        <v>7.8060602400000008</v>
      </c>
      <c r="G490" s="45"/>
      <c r="H490" s="78">
        <f t="shared" ref="H490:M490" si="379">FVSCHEDULE($E490,$H$493:H$493)</f>
        <v>1.5</v>
      </c>
      <c r="I490" s="78">
        <f t="shared" si="379"/>
        <v>1.53</v>
      </c>
      <c r="J490" s="78">
        <f t="shared" si="379"/>
        <v>1.5606</v>
      </c>
      <c r="K490" s="78">
        <f t="shared" si="379"/>
        <v>1.591812</v>
      </c>
      <c r="L490" s="78">
        <f t="shared" si="379"/>
        <v>1.6236482400000001</v>
      </c>
      <c r="M490" s="78">
        <f t="shared" si="379"/>
        <v>1.6561212048</v>
      </c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3.5" customHeight="1" x14ac:dyDescent="0.3">
      <c r="A491" s="43" t="s">
        <v>225</v>
      </c>
      <c r="B491" s="43"/>
      <c r="C491" s="43"/>
      <c r="D491" s="43" t="s">
        <v>93</v>
      </c>
      <c r="E491" s="131"/>
      <c r="F491" s="45">
        <f t="shared" si="368"/>
        <v>0</v>
      </c>
      <c r="G491" s="45"/>
      <c r="H491" s="78">
        <f t="shared" ref="H491:M491" si="380">FVSCHEDULE($E491,$H$493:H$493)</f>
        <v>0</v>
      </c>
      <c r="I491" s="78">
        <f t="shared" si="380"/>
        <v>0</v>
      </c>
      <c r="J491" s="78">
        <f t="shared" si="380"/>
        <v>0</v>
      </c>
      <c r="K491" s="78">
        <f t="shared" si="380"/>
        <v>0</v>
      </c>
      <c r="L491" s="78">
        <f t="shared" si="380"/>
        <v>0</v>
      </c>
      <c r="M491" s="78">
        <f t="shared" si="380"/>
        <v>0</v>
      </c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3.5" customHeight="1" x14ac:dyDescent="0.3">
      <c r="A492" s="63" t="s">
        <v>368</v>
      </c>
      <c r="B492" s="63"/>
      <c r="C492" s="63"/>
      <c r="D492" s="63" t="s">
        <v>93</v>
      </c>
      <c r="E492" s="137"/>
      <c r="F492" s="45">
        <f t="shared" si="368"/>
        <v>183.553138128</v>
      </c>
      <c r="G492" s="45"/>
      <c r="H492" s="45">
        <f t="shared" ref="H492:M492" si="381">SUM(H480:H491)</f>
        <v>21.290000000000003</v>
      </c>
      <c r="I492" s="45">
        <f t="shared" si="381"/>
        <v>28.870000000000005</v>
      </c>
      <c r="J492" s="45">
        <f t="shared" si="381"/>
        <v>35.373600000000003</v>
      </c>
      <c r="K492" s="45">
        <f t="shared" si="381"/>
        <v>45.738064800000004</v>
      </c>
      <c r="L492" s="45">
        <f t="shared" si="381"/>
        <v>52.281473328000011</v>
      </c>
      <c r="M492" s="45">
        <f t="shared" si="381"/>
        <v>56.197712882880019</v>
      </c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3.5" customHeight="1" x14ac:dyDescent="0.3">
      <c r="A493" s="43" t="s">
        <v>313</v>
      </c>
      <c r="B493" s="43"/>
      <c r="C493" s="43"/>
      <c r="D493" s="133" t="s">
        <v>121</v>
      </c>
      <c r="E493" s="48">
        <v>0.02</v>
      </c>
      <c r="F493" s="134"/>
      <c r="G493" s="134"/>
      <c r="H493" s="48">
        <v>0</v>
      </c>
      <c r="I493" s="75">
        <f>E493</f>
        <v>0.02</v>
      </c>
      <c r="J493" s="75">
        <f t="shared" ref="J493:M493" si="382">I493</f>
        <v>0.02</v>
      </c>
      <c r="K493" s="75">
        <f t="shared" si="382"/>
        <v>0.02</v>
      </c>
      <c r="L493" s="75">
        <f t="shared" si="382"/>
        <v>0.02</v>
      </c>
      <c r="M493" s="75">
        <f t="shared" si="382"/>
        <v>0.02</v>
      </c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3.5" customHeight="1" x14ac:dyDescent="0.3">
      <c r="A494" s="47"/>
      <c r="B494" s="47"/>
      <c r="C494" s="47"/>
      <c r="D494" s="47"/>
      <c r="E494" s="58"/>
      <c r="F494" s="51"/>
      <c r="G494" s="51"/>
      <c r="H494" s="98"/>
      <c r="I494" s="98"/>
      <c r="J494" s="98"/>
      <c r="K494" s="98"/>
      <c r="L494" s="98"/>
      <c r="M494" s="98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3.5" customHeight="1" x14ac:dyDescent="0.3">
      <c r="A495" s="94"/>
      <c r="B495" s="94"/>
      <c r="C495" s="94"/>
      <c r="D495" s="94"/>
      <c r="E495" s="95"/>
      <c r="F495" s="96"/>
      <c r="G495" s="96"/>
      <c r="H495" s="95"/>
      <c r="I495" s="95"/>
      <c r="J495" s="95"/>
      <c r="K495" s="95"/>
      <c r="L495" s="95"/>
      <c r="M495" s="95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3.5" customHeight="1" x14ac:dyDescent="0.3">
      <c r="A496" s="64" t="s">
        <v>369</v>
      </c>
      <c r="B496" s="65"/>
      <c r="C496" s="65"/>
      <c r="D496" s="65"/>
      <c r="E496" s="66"/>
      <c r="F496" s="67"/>
      <c r="G496" s="67"/>
      <c r="H496" s="66"/>
      <c r="I496" s="66"/>
      <c r="J496" s="66"/>
      <c r="K496" s="66"/>
      <c r="L496" s="66"/>
      <c r="M496" s="66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3.5" customHeight="1" x14ac:dyDescent="0.3">
      <c r="A497" s="152"/>
      <c r="B497" s="152"/>
      <c r="C497" s="152"/>
      <c r="D497" s="35"/>
      <c r="E497" s="36"/>
      <c r="F497" s="36" t="s">
        <v>163</v>
      </c>
      <c r="G497" s="36"/>
      <c r="H497" s="37" t="s">
        <v>81</v>
      </c>
      <c r="I497" s="37" t="s">
        <v>82</v>
      </c>
      <c r="J497" s="37" t="s">
        <v>83</v>
      </c>
      <c r="K497" s="37" t="s">
        <v>84</v>
      </c>
      <c r="L497" s="37" t="s">
        <v>85</v>
      </c>
      <c r="M497" s="37" t="s">
        <v>86</v>
      </c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  <c r="Z497" s="153"/>
    </row>
    <row r="498" spans="1:26" ht="13.5" customHeight="1" x14ac:dyDescent="0.3">
      <c r="A498" s="40" t="s">
        <v>370</v>
      </c>
      <c r="B498" s="68"/>
      <c r="C498" s="68"/>
      <c r="D498" s="40" t="str">
        <f>D$58</f>
        <v>Misura</v>
      </c>
      <c r="E498" s="39" t="s">
        <v>115</v>
      </c>
      <c r="F498" s="39" t="s">
        <v>142</v>
      </c>
      <c r="G498" s="39"/>
      <c r="H498" s="57">
        <f t="shared" ref="H498:M498" si="383">H$58</f>
        <v>2022</v>
      </c>
      <c r="I498" s="57">
        <f t="shared" si="383"/>
        <v>2023</v>
      </c>
      <c r="J498" s="57">
        <f t="shared" si="383"/>
        <v>2024</v>
      </c>
      <c r="K498" s="57">
        <f t="shared" si="383"/>
        <v>2025</v>
      </c>
      <c r="L498" s="57">
        <f t="shared" si="383"/>
        <v>2026</v>
      </c>
      <c r="M498" s="57">
        <f t="shared" si="383"/>
        <v>2027</v>
      </c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3.5" customHeight="1" x14ac:dyDescent="0.3">
      <c r="A499" s="35" t="s">
        <v>371</v>
      </c>
      <c r="B499" s="35"/>
      <c r="C499" s="35"/>
      <c r="D499" s="35" t="s">
        <v>93</v>
      </c>
      <c r="E499" s="37"/>
      <c r="F499" s="45">
        <f t="shared" ref="F499:F502" si="384">SUM(H499:L499)</f>
        <v>57917.752224676056</v>
      </c>
      <c r="G499" s="45"/>
      <c r="H499" s="37">
        <f t="shared" ref="H499:M499" si="385">H51</f>
        <v>1253.5857142857144</v>
      </c>
      <c r="I499" s="37">
        <f t="shared" si="385"/>
        <v>4320.5483000000004</v>
      </c>
      <c r="J499" s="37">
        <f t="shared" si="385"/>
        <v>8276.5163362000003</v>
      </c>
      <c r="K499" s="37">
        <f t="shared" si="385"/>
        <v>15661.4505016106</v>
      </c>
      <c r="L499" s="37">
        <f t="shared" si="385"/>
        <v>28405.651372579741</v>
      </c>
      <c r="M499" s="37">
        <f t="shared" si="385"/>
        <v>31555.311137463657</v>
      </c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3.5" customHeight="1" x14ac:dyDescent="0.3">
      <c r="A500" s="35" t="s">
        <v>372</v>
      </c>
      <c r="B500" s="35"/>
      <c r="C500" s="35"/>
      <c r="D500" s="35" t="s">
        <v>93</v>
      </c>
      <c r="E500" s="37"/>
      <c r="F500" s="45">
        <f t="shared" si="384"/>
        <v>16874.469400000002</v>
      </c>
      <c r="G500" s="45"/>
      <c r="H500" s="37">
        <f t="shared" ref="H500:M500" si="386">H349</f>
        <v>491.48940000000005</v>
      </c>
      <c r="I500" s="37">
        <f t="shared" si="386"/>
        <v>1638.298</v>
      </c>
      <c r="J500" s="37">
        <f t="shared" si="386"/>
        <v>3276.596</v>
      </c>
      <c r="K500" s="37">
        <f t="shared" si="386"/>
        <v>4914.8940000000002</v>
      </c>
      <c r="L500" s="37">
        <f t="shared" si="386"/>
        <v>6553.192</v>
      </c>
      <c r="M500" s="37">
        <f t="shared" si="386"/>
        <v>6553.192</v>
      </c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3.5" customHeight="1" x14ac:dyDescent="0.3">
      <c r="A501" s="35" t="s">
        <v>373</v>
      </c>
      <c r="B501" s="35"/>
      <c r="C501" s="35"/>
      <c r="D501" s="35" t="s">
        <v>93</v>
      </c>
      <c r="E501" s="37"/>
      <c r="F501" s="45">
        <f t="shared" si="384"/>
        <v>200</v>
      </c>
      <c r="G501" s="45"/>
      <c r="H501" s="154">
        <v>0</v>
      </c>
      <c r="I501" s="154">
        <v>200</v>
      </c>
      <c r="J501" s="154">
        <v>0</v>
      </c>
      <c r="K501" s="154">
        <v>0</v>
      </c>
      <c r="L501" s="154">
        <v>0</v>
      </c>
      <c r="M501" s="154">
        <v>0</v>
      </c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3.5" customHeight="1" x14ac:dyDescent="0.3">
      <c r="A502" s="35" t="s">
        <v>374</v>
      </c>
      <c r="B502" s="35"/>
      <c r="C502" s="35"/>
      <c r="D502" s="35" t="s">
        <v>93</v>
      </c>
      <c r="E502" s="37"/>
      <c r="F502" s="45">
        <f t="shared" si="384"/>
        <v>0</v>
      </c>
      <c r="G502" s="45"/>
      <c r="H502" s="154">
        <v>0</v>
      </c>
      <c r="I502" s="154">
        <v>0</v>
      </c>
      <c r="J502" s="154">
        <v>0</v>
      </c>
      <c r="K502" s="154">
        <v>0</v>
      </c>
      <c r="L502" s="154">
        <v>0</v>
      </c>
      <c r="M502" s="154">
        <v>0</v>
      </c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3.5" customHeight="1" x14ac:dyDescent="0.3">
      <c r="A503" s="155" t="s">
        <v>375</v>
      </c>
      <c r="B503" s="155"/>
      <c r="C503" s="155"/>
      <c r="D503" s="155" t="s">
        <v>93</v>
      </c>
      <c r="E503" s="156"/>
      <c r="F503" s="156">
        <f>SUM(F499:F502)</f>
        <v>74992.221624676051</v>
      </c>
      <c r="G503" s="156"/>
      <c r="H503" s="156">
        <f t="shared" ref="H503:M503" si="387">SUM(H499:H502)</f>
        <v>1745.0751142857143</v>
      </c>
      <c r="I503" s="156">
        <f t="shared" si="387"/>
        <v>6158.8463000000002</v>
      </c>
      <c r="J503" s="156">
        <f t="shared" si="387"/>
        <v>11553.1123362</v>
      </c>
      <c r="K503" s="156">
        <f t="shared" si="387"/>
        <v>20576.344501610598</v>
      </c>
      <c r="L503" s="156">
        <f t="shared" si="387"/>
        <v>34958.843372579744</v>
      </c>
      <c r="M503" s="156">
        <f t="shared" si="387"/>
        <v>38108.50313746366</v>
      </c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  <c r="Y503" s="157"/>
      <c r="Z503" s="157"/>
    </row>
    <row r="504" spans="1:26" ht="13.5" customHeight="1" x14ac:dyDescent="0.3">
      <c r="A504" s="152" t="s">
        <v>376</v>
      </c>
      <c r="B504" s="152"/>
      <c r="C504" s="152"/>
      <c r="D504" s="152" t="s">
        <v>121</v>
      </c>
      <c r="E504" s="153"/>
      <c r="F504" s="158"/>
      <c r="G504" s="158"/>
      <c r="H504" s="153"/>
      <c r="I504" s="153">
        <f t="shared" ref="I504:M504" si="388">IF(H503&lt;&gt;0,I503/H503-1,"n/a")</f>
        <v>2.5292728946632819</v>
      </c>
      <c r="J504" s="153">
        <f t="shared" si="388"/>
        <v>0.87585657661240868</v>
      </c>
      <c r="K504" s="153">
        <f t="shared" si="388"/>
        <v>0.781021763039351</v>
      </c>
      <c r="L504" s="153">
        <f t="shared" si="388"/>
        <v>0.69898221571102526</v>
      </c>
      <c r="M504" s="153">
        <f t="shared" si="388"/>
        <v>9.0096223473868697E-2</v>
      </c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  <c r="Z504" s="153"/>
    </row>
    <row r="505" spans="1:26" ht="13.5" customHeight="1" x14ac:dyDescent="0.3">
      <c r="A505" s="152"/>
      <c r="B505" s="152"/>
      <c r="C505" s="152"/>
      <c r="D505" s="152"/>
      <c r="E505" s="153"/>
      <c r="F505" s="158"/>
      <c r="G505" s="158"/>
      <c r="H505" s="153"/>
      <c r="I505" s="153"/>
      <c r="J505" s="153"/>
      <c r="K505" s="153"/>
      <c r="L505" s="153"/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  <c r="Z505" s="153"/>
    </row>
    <row r="506" spans="1:26" ht="13.5" customHeight="1" x14ac:dyDescent="0.3">
      <c r="A506" s="40" t="s">
        <v>265</v>
      </c>
      <c r="B506" s="68"/>
      <c r="C506" s="68"/>
      <c r="D506" s="40" t="str">
        <f>D$58</f>
        <v>Misura</v>
      </c>
      <c r="E506" s="39" t="s">
        <v>115</v>
      </c>
      <c r="F506" s="39" t="s">
        <v>142</v>
      </c>
      <c r="G506" s="39"/>
      <c r="H506" s="57">
        <f t="shared" ref="H506:M506" si="389">H$58</f>
        <v>2022</v>
      </c>
      <c r="I506" s="57">
        <f t="shared" si="389"/>
        <v>2023</v>
      </c>
      <c r="J506" s="57">
        <f t="shared" si="389"/>
        <v>2024</v>
      </c>
      <c r="K506" s="57">
        <f t="shared" si="389"/>
        <v>2025</v>
      </c>
      <c r="L506" s="57">
        <f t="shared" si="389"/>
        <v>2026</v>
      </c>
      <c r="M506" s="57">
        <f t="shared" si="389"/>
        <v>2027</v>
      </c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3.5" customHeight="1" x14ac:dyDescent="0.3">
      <c r="A507" s="159" t="s">
        <v>377</v>
      </c>
      <c r="B507" s="160"/>
      <c r="C507" s="160"/>
      <c r="D507" s="161" t="s">
        <v>93</v>
      </c>
      <c r="E507" s="162"/>
      <c r="F507" s="163">
        <f t="shared" ref="F507:F509" si="390">SUM(H507:L507)</f>
        <v>30680.995759365778</v>
      </c>
      <c r="G507" s="163"/>
      <c r="H507" s="164">
        <f t="shared" ref="H507:M507" si="391">H195</f>
        <v>779.8213325892857</v>
      </c>
      <c r="I507" s="164">
        <f t="shared" si="391"/>
        <v>2373.5048881279022</v>
      </c>
      <c r="J507" s="164">
        <f t="shared" si="391"/>
        <v>4206.0667546613058</v>
      </c>
      <c r="K507" s="164">
        <f t="shared" si="391"/>
        <v>8254.1419956112877</v>
      </c>
      <c r="L507" s="164">
        <f t="shared" si="391"/>
        <v>15067.460788375996</v>
      </c>
      <c r="M507" s="165">
        <f t="shared" si="391"/>
        <v>17081.674290139214</v>
      </c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3.5" customHeight="1" x14ac:dyDescent="0.3">
      <c r="A508" s="166" t="s">
        <v>378</v>
      </c>
      <c r="B508" s="166"/>
      <c r="C508" s="166"/>
      <c r="D508" s="35" t="s">
        <v>93</v>
      </c>
      <c r="E508" s="131"/>
      <c r="F508" s="45">
        <f t="shared" si="390"/>
        <v>8171.8442768835403</v>
      </c>
      <c r="G508" s="45"/>
      <c r="H508" s="46">
        <f t="shared" ref="H508:M508" si="392">H474</f>
        <v>348.75470516096561</v>
      </c>
      <c r="I508" s="46">
        <f t="shared" si="392"/>
        <v>638.81843196918533</v>
      </c>
      <c r="J508" s="46">
        <f t="shared" si="392"/>
        <v>1137.4641762688739</v>
      </c>
      <c r="K508" s="46">
        <f t="shared" si="392"/>
        <v>2148.2219026908751</v>
      </c>
      <c r="L508" s="46">
        <f t="shared" si="392"/>
        <v>3898.58506079364</v>
      </c>
      <c r="M508" s="46">
        <f t="shared" si="392"/>
        <v>4302.8040488302204</v>
      </c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3.5" customHeight="1" x14ac:dyDescent="0.3">
      <c r="A509" s="167" t="s">
        <v>379</v>
      </c>
      <c r="B509" s="167"/>
      <c r="C509" s="167"/>
      <c r="D509" s="167" t="s">
        <v>93</v>
      </c>
      <c r="E509" s="168"/>
      <c r="F509" s="36">
        <f t="shared" si="390"/>
        <v>38852.840036249319</v>
      </c>
      <c r="G509" s="36"/>
      <c r="H509" s="36">
        <f t="shared" ref="H509:M509" si="393">SUM(H507:H508)</f>
        <v>1128.5760377502513</v>
      </c>
      <c r="I509" s="36">
        <f t="shared" si="393"/>
        <v>3012.3233200970876</v>
      </c>
      <c r="J509" s="36">
        <f t="shared" si="393"/>
        <v>5343.5309309301792</v>
      </c>
      <c r="K509" s="36">
        <f t="shared" si="393"/>
        <v>10402.363898302163</v>
      </c>
      <c r="L509" s="36">
        <f t="shared" si="393"/>
        <v>18966.045849169637</v>
      </c>
      <c r="M509" s="36">
        <f t="shared" si="393"/>
        <v>21384.478338969435</v>
      </c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3.5" customHeight="1" x14ac:dyDescent="0.3">
      <c r="A510" s="35" t="s">
        <v>380</v>
      </c>
      <c r="B510" s="35"/>
      <c r="C510" s="35"/>
      <c r="D510" s="35" t="s">
        <v>108</v>
      </c>
      <c r="E510" s="154"/>
      <c r="F510" s="169">
        <f>F509/F499</f>
        <v>0.67082782987727785</v>
      </c>
      <c r="G510" s="169"/>
      <c r="H510" s="81">
        <f t="shared" ref="H510:M510" si="394">H509/H499</f>
        <v>0.90027831754074128</v>
      </c>
      <c r="I510" s="81">
        <f t="shared" si="394"/>
        <v>0.6972085742212597</v>
      </c>
      <c r="J510" s="81">
        <f t="shared" si="394"/>
        <v>0.6456256127422273</v>
      </c>
      <c r="K510" s="81">
        <f t="shared" si="394"/>
        <v>0.66420181816699542</v>
      </c>
      <c r="L510" s="81">
        <f t="shared" si="394"/>
        <v>0.66768565171780392</v>
      </c>
      <c r="M510" s="81">
        <f t="shared" si="394"/>
        <v>0.67768237954659161</v>
      </c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3.5" customHeight="1" x14ac:dyDescent="0.3">
      <c r="A511" s="170" t="s">
        <v>381</v>
      </c>
      <c r="B511" s="170"/>
      <c r="C511" s="170"/>
      <c r="D511" s="170" t="s">
        <v>93</v>
      </c>
      <c r="E511" s="157"/>
      <c r="F511" s="157">
        <f>SUM(H511:L511)</f>
        <v>38852.840036249319</v>
      </c>
      <c r="G511" s="157"/>
      <c r="H511" s="157">
        <f t="shared" ref="H511:M511" si="395">H509</f>
        <v>1128.5760377502513</v>
      </c>
      <c r="I511" s="157">
        <f t="shared" si="395"/>
        <v>3012.3233200970876</v>
      </c>
      <c r="J511" s="157">
        <f t="shared" si="395"/>
        <v>5343.5309309301792</v>
      </c>
      <c r="K511" s="157">
        <f t="shared" si="395"/>
        <v>10402.363898302163</v>
      </c>
      <c r="L511" s="157">
        <f t="shared" si="395"/>
        <v>18966.045849169637</v>
      </c>
      <c r="M511" s="157">
        <f t="shared" si="395"/>
        <v>21384.478338969435</v>
      </c>
      <c r="N511" s="157"/>
      <c r="O511" s="157"/>
      <c r="P511" s="157"/>
      <c r="Q511" s="157"/>
      <c r="R511" s="157"/>
      <c r="S511" s="157"/>
      <c r="T511" s="157"/>
      <c r="U511" s="157"/>
      <c r="V511" s="157"/>
      <c r="W511" s="157"/>
      <c r="X511" s="157"/>
      <c r="Y511" s="157"/>
      <c r="Z511" s="157"/>
    </row>
    <row r="512" spans="1:26" ht="13.5" customHeight="1" x14ac:dyDescent="0.3">
      <c r="A512" s="35" t="s">
        <v>382</v>
      </c>
      <c r="B512" s="35"/>
      <c r="C512" s="35"/>
      <c r="D512" s="35" t="s">
        <v>108</v>
      </c>
      <c r="E512" s="154"/>
      <c r="F512" s="169">
        <f>F511/(F499+F500)</f>
        <v>0.51947701501930887</v>
      </c>
      <c r="G512" s="169"/>
      <c r="H512" s="81">
        <f t="shared" ref="H512:M512" si="396">H511/(H499+H500)</f>
        <v>0.64672060733167613</v>
      </c>
      <c r="I512" s="81">
        <f t="shared" si="396"/>
        <v>0.50552123153387718</v>
      </c>
      <c r="J512" s="81">
        <f t="shared" si="396"/>
        <v>0.46251873741303468</v>
      </c>
      <c r="K512" s="81">
        <f t="shared" si="396"/>
        <v>0.50554965666947915</v>
      </c>
      <c r="L512" s="81">
        <f t="shared" si="396"/>
        <v>0.5425249813626789</v>
      </c>
      <c r="M512" s="81">
        <f t="shared" si="396"/>
        <v>0.56114716082739047</v>
      </c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3.5" customHeight="1" x14ac:dyDescent="0.3">
      <c r="A513" s="167"/>
      <c r="B513" s="167"/>
      <c r="C513" s="167"/>
      <c r="D513" s="167"/>
      <c r="E513" s="36"/>
      <c r="F513" s="36"/>
      <c r="G513" s="36"/>
      <c r="H513" s="107"/>
      <c r="I513" s="171"/>
      <c r="J513" s="171"/>
      <c r="K513" s="171"/>
      <c r="L513" s="171"/>
      <c r="M513" s="171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3.5" customHeight="1" x14ac:dyDescent="0.3">
      <c r="A514" s="35" t="s">
        <v>282</v>
      </c>
      <c r="B514" s="35"/>
      <c r="C514" s="35"/>
      <c r="D514" s="35" t="s">
        <v>93</v>
      </c>
      <c r="E514" s="154"/>
      <c r="F514" s="36">
        <f t="shared" ref="F514:F517" si="397">SUM(H514:L514)</f>
        <v>5250.3552920000002</v>
      </c>
      <c r="G514" s="36"/>
      <c r="H514" s="46">
        <f t="shared" ref="H514:M514" si="398">H417</f>
        <v>307.40000000000003</v>
      </c>
      <c r="I514" s="46">
        <f t="shared" si="398"/>
        <v>739.5</v>
      </c>
      <c r="J514" s="46">
        <f t="shared" si="398"/>
        <v>981.09720000000004</v>
      </c>
      <c r="K514" s="46">
        <f t="shared" si="398"/>
        <v>1409.284224</v>
      </c>
      <c r="L514" s="46">
        <f t="shared" si="398"/>
        <v>1813.0738680000002</v>
      </c>
      <c r="M514" s="46">
        <f t="shared" si="398"/>
        <v>2039.2372435104003</v>
      </c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3.5" customHeight="1" x14ac:dyDescent="0.3">
      <c r="A515" s="35" t="s">
        <v>383</v>
      </c>
      <c r="B515" s="35"/>
      <c r="C515" s="35"/>
      <c r="D515" s="35" t="s">
        <v>93</v>
      </c>
      <c r="E515" s="154"/>
      <c r="F515" s="36">
        <f t="shared" si="397"/>
        <v>229.21302951222745</v>
      </c>
      <c r="G515" s="36"/>
      <c r="H515" s="46">
        <f t="shared" ref="H515:M515" si="399">H432+H441</f>
        <v>10.046896798079917</v>
      </c>
      <c r="I515" s="46">
        <f t="shared" si="399"/>
        <v>25.179460667059182</v>
      </c>
      <c r="J515" s="46">
        <f t="shared" si="399"/>
        <v>36.48672455500931</v>
      </c>
      <c r="K515" s="46">
        <f t="shared" si="399"/>
        <v>61.411554751491167</v>
      </c>
      <c r="L515" s="46">
        <f t="shared" si="399"/>
        <v>96.088392740587864</v>
      </c>
      <c r="M515" s="46">
        <f t="shared" si="399"/>
        <v>62.239924588140902</v>
      </c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3.5" customHeight="1" x14ac:dyDescent="0.3">
      <c r="A516" s="35" t="s">
        <v>384</v>
      </c>
      <c r="B516" s="35"/>
      <c r="C516" s="35"/>
      <c r="D516" s="35" t="s">
        <v>93</v>
      </c>
      <c r="E516" s="154"/>
      <c r="F516" s="36">
        <f t="shared" si="397"/>
        <v>183.553138128</v>
      </c>
      <c r="G516" s="36"/>
      <c r="H516" s="46">
        <f t="shared" ref="H516:M516" si="400">H492</f>
        <v>21.290000000000003</v>
      </c>
      <c r="I516" s="46">
        <f t="shared" si="400"/>
        <v>28.870000000000005</v>
      </c>
      <c r="J516" s="46">
        <f t="shared" si="400"/>
        <v>35.373600000000003</v>
      </c>
      <c r="K516" s="46">
        <f t="shared" si="400"/>
        <v>45.738064800000004</v>
      </c>
      <c r="L516" s="46">
        <f t="shared" si="400"/>
        <v>52.281473328000011</v>
      </c>
      <c r="M516" s="46">
        <f t="shared" si="400"/>
        <v>56.197712882880019</v>
      </c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3.5" customHeight="1" x14ac:dyDescent="0.3">
      <c r="A517" s="35" t="s">
        <v>385</v>
      </c>
      <c r="B517" s="172">
        <v>0.01</v>
      </c>
      <c r="C517" s="35" t="s">
        <v>386</v>
      </c>
      <c r="D517" s="35" t="s">
        <v>93</v>
      </c>
      <c r="E517" s="154"/>
      <c r="F517" s="36">
        <f t="shared" si="397"/>
        <v>56.631214596402273</v>
      </c>
      <c r="G517" s="36"/>
      <c r="H517" s="46">
        <f t="shared" ref="H517:M517" si="401">SUM(H514:H516)*$B517</f>
        <v>3.3873689679807995</v>
      </c>
      <c r="I517" s="46">
        <f t="shared" si="401"/>
        <v>7.9354946066705923</v>
      </c>
      <c r="J517" s="46">
        <f t="shared" si="401"/>
        <v>10.529575245550093</v>
      </c>
      <c r="K517" s="46">
        <f t="shared" si="401"/>
        <v>15.164338435514912</v>
      </c>
      <c r="L517" s="46">
        <f t="shared" si="401"/>
        <v>19.614437340685878</v>
      </c>
      <c r="M517" s="46">
        <f t="shared" si="401"/>
        <v>21.576748809814212</v>
      </c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3.5" customHeight="1" x14ac:dyDescent="0.3">
      <c r="A518" s="170" t="s">
        <v>387</v>
      </c>
      <c r="B518" s="170"/>
      <c r="C518" s="170"/>
      <c r="D518" s="170" t="s">
        <v>93</v>
      </c>
      <c r="E518" s="173"/>
      <c r="F518" s="157">
        <f>SUM(F514:F517)</f>
        <v>5719.7526742366299</v>
      </c>
      <c r="G518" s="157"/>
      <c r="H518" s="157">
        <f t="shared" ref="H518:M518" si="402">SUM(H514:H517)</f>
        <v>342.12426576606077</v>
      </c>
      <c r="I518" s="157">
        <f t="shared" si="402"/>
        <v>801.48495527372972</v>
      </c>
      <c r="J518" s="157">
        <f t="shared" si="402"/>
        <v>1063.4870998005595</v>
      </c>
      <c r="K518" s="157">
        <f t="shared" si="402"/>
        <v>1531.5981819870062</v>
      </c>
      <c r="L518" s="157">
        <f t="shared" si="402"/>
        <v>1981.0581714092739</v>
      </c>
      <c r="M518" s="157">
        <f t="shared" si="402"/>
        <v>2179.2516297912352</v>
      </c>
      <c r="N518" s="157"/>
      <c r="O518" s="157"/>
      <c r="P518" s="157"/>
      <c r="Q518" s="157"/>
      <c r="R518" s="157"/>
      <c r="S518" s="157"/>
      <c r="T518" s="157"/>
      <c r="U518" s="157"/>
      <c r="V518" s="157"/>
      <c r="W518" s="157"/>
      <c r="X518" s="157"/>
      <c r="Y518" s="157"/>
      <c r="Z518" s="157"/>
    </row>
    <row r="519" spans="1:26" ht="13.5" customHeight="1" x14ac:dyDescent="0.3">
      <c r="A519" s="35" t="s">
        <v>388</v>
      </c>
      <c r="B519" s="35"/>
      <c r="C519" s="35"/>
      <c r="D519" s="35" t="s">
        <v>108</v>
      </c>
      <c r="E519" s="154"/>
      <c r="F519" s="169">
        <f>F518/F$503</f>
        <v>7.6271279211637011E-2</v>
      </c>
      <c r="G519" s="169"/>
      <c r="H519" s="81">
        <f t="shared" ref="H519:M519" si="403">H518/H$503</f>
        <v>0.19605131204114237</v>
      </c>
      <c r="I519" s="81">
        <f t="shared" si="403"/>
        <v>0.13013556699307949</v>
      </c>
      <c r="J519" s="81">
        <f t="shared" si="403"/>
        <v>9.2052000262152489E-2</v>
      </c>
      <c r="K519" s="81">
        <f t="shared" si="403"/>
        <v>7.4434901780883453E-2</v>
      </c>
      <c r="L519" s="81">
        <f t="shared" si="403"/>
        <v>5.6668298498775083E-2</v>
      </c>
      <c r="M519" s="81">
        <f t="shared" si="403"/>
        <v>5.7185442890011054E-2</v>
      </c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3.5" customHeight="1" x14ac:dyDescent="0.3">
      <c r="A520" s="167"/>
      <c r="B520" s="167"/>
      <c r="C520" s="167"/>
      <c r="D520" s="167"/>
      <c r="E520" s="154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3.5" customHeight="1" x14ac:dyDescent="0.3">
      <c r="A521" s="174" t="s">
        <v>389</v>
      </c>
      <c r="B521" s="175"/>
      <c r="C521" s="175"/>
      <c r="D521" s="175" t="s">
        <v>93</v>
      </c>
      <c r="E521" s="176"/>
      <c r="F521" s="176">
        <f>SUM(H521:L521)</f>
        <v>44572.592710485944</v>
      </c>
      <c r="G521" s="176"/>
      <c r="H521" s="176">
        <f t="shared" ref="H521:M521" si="404">H511+H518</f>
        <v>1470.700303516312</v>
      </c>
      <c r="I521" s="176">
        <f t="shared" si="404"/>
        <v>3813.8082753708172</v>
      </c>
      <c r="J521" s="176">
        <f t="shared" si="404"/>
        <v>6407.0180307307382</v>
      </c>
      <c r="K521" s="176">
        <f t="shared" si="404"/>
        <v>11933.96208028917</v>
      </c>
      <c r="L521" s="176">
        <f t="shared" si="404"/>
        <v>20947.10402057891</v>
      </c>
      <c r="M521" s="177">
        <f t="shared" si="404"/>
        <v>23563.729968760672</v>
      </c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  <c r="Y521" s="157"/>
      <c r="Z521" s="157"/>
    </row>
    <row r="522" spans="1:26" ht="13.5" customHeight="1" x14ac:dyDescent="0.3">
      <c r="A522" s="35" t="s">
        <v>390</v>
      </c>
      <c r="B522" s="35"/>
      <c r="C522" s="35"/>
      <c r="D522" s="35" t="s">
        <v>108</v>
      </c>
      <c r="E522" s="154"/>
      <c r="F522" s="169">
        <f>F521/F$503</f>
        <v>0.59436287850711456</v>
      </c>
      <c r="G522" s="169"/>
      <c r="H522" s="81">
        <f t="shared" ref="H522:M522" si="405">H521/H$503</f>
        <v>0.84277191937281848</v>
      </c>
      <c r="I522" s="81">
        <f t="shared" si="405"/>
        <v>0.61924069697449946</v>
      </c>
      <c r="J522" s="81">
        <f t="shared" si="405"/>
        <v>0.55457073767518716</v>
      </c>
      <c r="K522" s="81">
        <f t="shared" si="405"/>
        <v>0.57998455845036267</v>
      </c>
      <c r="L522" s="81">
        <f t="shared" si="405"/>
        <v>0.59919327986145399</v>
      </c>
      <c r="M522" s="81">
        <f t="shared" si="405"/>
        <v>0.61833260371740162</v>
      </c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3.5" customHeight="1" x14ac:dyDescent="0.3">
      <c r="A523" s="35"/>
      <c r="B523" s="35"/>
      <c r="C523" s="35"/>
      <c r="D523" s="35"/>
      <c r="E523" s="37"/>
      <c r="F523" s="36"/>
      <c r="G523" s="36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3.5" customHeight="1" x14ac:dyDescent="0.3">
      <c r="A524" s="155" t="s">
        <v>391</v>
      </c>
      <c r="B524" s="155"/>
      <c r="C524" s="155"/>
      <c r="D524" s="155" t="s">
        <v>93</v>
      </c>
      <c r="E524" s="156"/>
      <c r="F524" s="156">
        <f>SUM(H524:L524)</f>
        <v>30419.628914190107</v>
      </c>
      <c r="G524" s="156"/>
      <c r="H524" s="156">
        <f t="shared" ref="H524:M524" si="406">H503-H521</f>
        <v>274.3748107694023</v>
      </c>
      <c r="I524" s="156">
        <f t="shared" si="406"/>
        <v>2345.0380246291829</v>
      </c>
      <c r="J524" s="156">
        <f t="shared" si="406"/>
        <v>5146.0943054692616</v>
      </c>
      <c r="K524" s="156">
        <f t="shared" si="406"/>
        <v>8642.3824213214284</v>
      </c>
      <c r="L524" s="156">
        <f t="shared" si="406"/>
        <v>14011.739352000834</v>
      </c>
      <c r="M524" s="156">
        <f t="shared" si="406"/>
        <v>14544.773168702988</v>
      </c>
      <c r="N524" s="157"/>
      <c r="O524" s="157"/>
      <c r="P524" s="157"/>
      <c r="Q524" s="157"/>
      <c r="R524" s="157"/>
      <c r="S524" s="157"/>
      <c r="T524" s="157"/>
      <c r="U524" s="157"/>
      <c r="V524" s="157"/>
      <c r="W524" s="157"/>
      <c r="X524" s="157"/>
      <c r="Y524" s="157"/>
      <c r="Z524" s="157"/>
    </row>
    <row r="525" spans="1:26" ht="13.5" customHeight="1" x14ac:dyDescent="0.3">
      <c r="A525" s="178" t="s">
        <v>392</v>
      </c>
      <c r="B525" s="178"/>
      <c r="C525" s="178"/>
      <c r="D525" s="178" t="s">
        <v>393</v>
      </c>
      <c r="E525" s="179"/>
      <c r="F525" s="180">
        <f>F524/F$503</f>
        <v>0.40563712149288539</v>
      </c>
      <c r="G525" s="180"/>
      <c r="H525" s="181">
        <f t="shared" ref="H525:M525" si="407">H524/H$503</f>
        <v>0.15722808062718152</v>
      </c>
      <c r="I525" s="181">
        <f t="shared" si="407"/>
        <v>0.38075930302550054</v>
      </c>
      <c r="J525" s="181">
        <f t="shared" si="407"/>
        <v>0.44542926232481289</v>
      </c>
      <c r="K525" s="181">
        <f t="shared" si="407"/>
        <v>0.42001544154963738</v>
      </c>
      <c r="L525" s="181">
        <f t="shared" si="407"/>
        <v>0.40080672013854601</v>
      </c>
      <c r="M525" s="181">
        <f t="shared" si="407"/>
        <v>0.38166739628259844</v>
      </c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  <c r="X525" s="179"/>
      <c r="Y525" s="179"/>
      <c r="Z525" s="179"/>
    </row>
    <row r="526" spans="1:26" ht="13.5" customHeight="1" x14ac:dyDescent="0.3">
      <c r="A526" s="182"/>
      <c r="B526" s="182"/>
      <c r="C526" s="182"/>
      <c r="D526" s="182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  <c r="Z526" s="183"/>
    </row>
    <row r="527" spans="1:26" ht="13.5" customHeight="1" x14ac:dyDescent="0.3">
      <c r="A527" s="182"/>
      <c r="B527" s="182"/>
      <c r="C527" s="182"/>
      <c r="D527" s="182"/>
      <c r="E527" s="18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  <c r="Z527" s="183"/>
    </row>
    <row r="528" spans="1:26" ht="13.5" customHeight="1" x14ac:dyDescent="0.3">
      <c r="A528" s="94"/>
      <c r="B528" s="94"/>
      <c r="C528" s="94"/>
      <c r="D528" s="94"/>
      <c r="E528" s="95"/>
      <c r="F528" s="96"/>
      <c r="G528" s="96"/>
      <c r="H528" s="95"/>
      <c r="I528" s="95"/>
      <c r="J528" s="95"/>
      <c r="K528" s="95"/>
      <c r="L528" s="95"/>
      <c r="M528" s="95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3.5" customHeight="1" x14ac:dyDescent="0.3">
      <c r="A529" s="35"/>
      <c r="B529" s="35"/>
      <c r="C529" s="35"/>
      <c r="D529" s="35"/>
      <c r="E529" s="37"/>
      <c r="F529" s="36"/>
      <c r="G529" s="36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3.5" customHeight="1" x14ac:dyDescent="0.3">
      <c r="A530" s="64" t="s">
        <v>394</v>
      </c>
      <c r="B530" s="65"/>
      <c r="C530" s="65"/>
      <c r="D530" s="65"/>
      <c r="E530" s="66"/>
      <c r="F530" s="67"/>
      <c r="G530" s="67"/>
      <c r="H530" s="66"/>
      <c r="I530" s="66"/>
      <c r="J530" s="66"/>
      <c r="K530" s="66"/>
      <c r="L530" s="66"/>
      <c r="M530" s="66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3.5" customHeight="1" x14ac:dyDescent="0.3">
      <c r="A531" s="152"/>
      <c r="B531" s="152"/>
      <c r="C531" s="152"/>
      <c r="D531" s="35"/>
      <c r="E531" s="36"/>
      <c r="F531" s="36"/>
      <c r="G531" s="36"/>
      <c r="H531" s="37">
        <v>1</v>
      </c>
      <c r="I531" s="37">
        <v>2</v>
      </c>
      <c r="J531" s="37">
        <v>3</v>
      </c>
      <c r="K531" s="37">
        <v>4</v>
      </c>
      <c r="L531" s="37">
        <v>5</v>
      </c>
      <c r="M531" s="37">
        <v>5</v>
      </c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  <c r="Z531" s="153"/>
    </row>
    <row r="532" spans="1:26" ht="13.5" customHeight="1" x14ac:dyDescent="0.3">
      <c r="A532" s="152"/>
      <c r="B532" s="152"/>
      <c r="C532" s="152"/>
      <c r="D532" s="35"/>
      <c r="E532" s="36"/>
      <c r="F532" s="36" t="s">
        <v>163</v>
      </c>
      <c r="G532" s="36"/>
      <c r="H532" s="37" t="s">
        <v>81</v>
      </c>
      <c r="I532" s="37" t="s">
        <v>82</v>
      </c>
      <c r="J532" s="37" t="s">
        <v>83</v>
      </c>
      <c r="K532" s="37" t="s">
        <v>84</v>
      </c>
      <c r="L532" s="37" t="s">
        <v>85</v>
      </c>
      <c r="M532" s="37" t="s">
        <v>86</v>
      </c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  <c r="Z532" s="153"/>
    </row>
    <row r="533" spans="1:26" ht="13.5" customHeight="1" x14ac:dyDescent="0.3">
      <c r="A533" s="40" t="s">
        <v>395</v>
      </c>
      <c r="B533" s="68"/>
      <c r="C533" s="68"/>
      <c r="D533" s="40" t="str">
        <f>D$58</f>
        <v>Misura</v>
      </c>
      <c r="E533" s="39" t="s">
        <v>115</v>
      </c>
      <c r="F533" s="39" t="s">
        <v>142</v>
      </c>
      <c r="G533" s="39"/>
      <c r="H533" s="57">
        <f t="shared" ref="H533:M533" si="408">H$58</f>
        <v>2022</v>
      </c>
      <c r="I533" s="57">
        <f t="shared" si="408"/>
        <v>2023</v>
      </c>
      <c r="J533" s="57">
        <f t="shared" si="408"/>
        <v>2024</v>
      </c>
      <c r="K533" s="57">
        <f t="shared" si="408"/>
        <v>2025</v>
      </c>
      <c r="L533" s="57">
        <f t="shared" si="408"/>
        <v>2026</v>
      </c>
      <c r="M533" s="57">
        <f t="shared" si="408"/>
        <v>2027</v>
      </c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3.5" customHeight="1" x14ac:dyDescent="0.3">
      <c r="A534" s="35" t="s">
        <v>396</v>
      </c>
      <c r="B534" s="35"/>
      <c r="C534" s="35"/>
      <c r="D534" s="35" t="s">
        <v>93</v>
      </c>
      <c r="E534" s="3"/>
      <c r="F534" s="36">
        <f t="shared" ref="F534:F537" si="409">SUM(H534:L534)</f>
        <v>14967.295115967529</v>
      </c>
      <c r="G534" s="36"/>
      <c r="H534" s="37">
        <f t="shared" ref="H534:M534" si="410">H297</f>
        <v>610.31853937776452</v>
      </c>
      <c r="I534" s="37">
        <f t="shared" si="410"/>
        <v>1162.3864550887586</v>
      </c>
      <c r="J534" s="37">
        <f t="shared" si="410"/>
        <v>1743.4627801602069</v>
      </c>
      <c r="K534" s="37">
        <f t="shared" si="410"/>
        <v>3849.0822095700264</v>
      </c>
      <c r="L534" s="37">
        <f t="shared" si="410"/>
        <v>7602.0451317707711</v>
      </c>
      <c r="M534" s="37">
        <f t="shared" si="410"/>
        <v>1375.2671105873428</v>
      </c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3.5" customHeight="1" x14ac:dyDescent="0.3">
      <c r="A535" s="35" t="s">
        <v>397</v>
      </c>
      <c r="B535" s="35"/>
      <c r="C535" s="35"/>
      <c r="D535" s="35" t="s">
        <v>93</v>
      </c>
      <c r="E535" s="3"/>
      <c r="F535" s="36">
        <f t="shared" si="409"/>
        <v>135</v>
      </c>
      <c r="G535" s="36"/>
      <c r="H535" s="154">
        <v>100</v>
      </c>
      <c r="I535" s="154">
        <v>5</v>
      </c>
      <c r="J535" s="154">
        <v>10</v>
      </c>
      <c r="K535" s="154">
        <v>10</v>
      </c>
      <c r="L535" s="154">
        <v>10</v>
      </c>
      <c r="M535" s="154">
        <v>10</v>
      </c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3.5" customHeight="1" x14ac:dyDescent="0.3">
      <c r="A536" s="35" t="s">
        <v>398</v>
      </c>
      <c r="B536" s="35" t="s">
        <v>399</v>
      </c>
      <c r="C536" s="35"/>
      <c r="D536" s="35" t="s">
        <v>93</v>
      </c>
      <c r="E536" s="3"/>
      <c r="F536" s="36">
        <f t="shared" si="409"/>
        <v>4061.0313900525139</v>
      </c>
      <c r="G536" s="36"/>
      <c r="H536" s="154">
        <v>1350</v>
      </c>
      <c r="I536" s="37">
        <f t="shared" ref="I536:J536" si="411">(H536/H174*I174-H536)/2</f>
        <v>1485.6749999999993</v>
      </c>
      <c r="J536" s="37">
        <f t="shared" si="411"/>
        <v>842.37772499999983</v>
      </c>
      <c r="K536" s="37">
        <f>(J536/J174*K174-J536)/2.5</f>
        <v>262.26026504999999</v>
      </c>
      <c r="L536" s="37">
        <f t="shared" ref="L536:M536" si="412">(K536/K174*L174-K536)/2</f>
        <v>120.71840000251501</v>
      </c>
      <c r="M536" s="37">
        <f t="shared" si="412"/>
        <v>11.199984889122234</v>
      </c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3.5" customHeight="1" x14ac:dyDescent="0.3">
      <c r="A537" s="170" t="s">
        <v>400</v>
      </c>
      <c r="B537" s="170"/>
      <c r="C537" s="170"/>
      <c r="D537" s="170" t="s">
        <v>93</v>
      </c>
      <c r="E537" s="184"/>
      <c r="F537" s="157">
        <f t="shared" si="409"/>
        <v>19163.326506020043</v>
      </c>
      <c r="G537" s="157"/>
      <c r="H537" s="157">
        <f t="shared" ref="H537:M537" si="413">SUM(H534:H536)</f>
        <v>2060.3185393777644</v>
      </c>
      <c r="I537" s="157">
        <f t="shared" si="413"/>
        <v>2653.0614550887576</v>
      </c>
      <c r="J537" s="157">
        <f t="shared" si="413"/>
        <v>2595.8405051602067</v>
      </c>
      <c r="K537" s="157">
        <f t="shared" si="413"/>
        <v>4121.3424746200262</v>
      </c>
      <c r="L537" s="157">
        <f t="shared" si="413"/>
        <v>7732.7635317732866</v>
      </c>
      <c r="M537" s="157">
        <f t="shared" si="413"/>
        <v>1396.4670954764651</v>
      </c>
      <c r="N537" s="157"/>
      <c r="O537" s="157"/>
      <c r="P537" s="157"/>
      <c r="Q537" s="157"/>
      <c r="R537" s="157"/>
      <c r="S537" s="157"/>
      <c r="T537" s="157"/>
      <c r="U537" s="157"/>
      <c r="V537" s="157"/>
      <c r="W537" s="157"/>
      <c r="X537" s="157"/>
      <c r="Y537" s="157"/>
      <c r="Z537" s="157"/>
    </row>
    <row r="538" spans="1:26" ht="13.5" customHeight="1" x14ac:dyDescent="0.3">
      <c r="A538" s="185" t="s">
        <v>401</v>
      </c>
      <c r="B538" s="185"/>
      <c r="C538" s="185"/>
      <c r="D538" s="185" t="s">
        <v>108</v>
      </c>
      <c r="E538" s="101"/>
      <c r="F538" s="169"/>
      <c r="G538" s="169"/>
      <c r="H538" s="101">
        <v>1</v>
      </c>
      <c r="I538" s="101">
        <v>1</v>
      </c>
      <c r="J538" s="101">
        <v>1</v>
      </c>
      <c r="K538" s="101">
        <v>1</v>
      </c>
      <c r="L538" s="101">
        <v>1</v>
      </c>
      <c r="M538" s="101">
        <v>1</v>
      </c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3.5" customHeight="1" x14ac:dyDescent="0.3">
      <c r="A539" s="35" t="s">
        <v>402</v>
      </c>
      <c r="B539" s="35"/>
      <c r="C539" s="35"/>
      <c r="D539" s="35" t="s">
        <v>403</v>
      </c>
      <c r="E539" s="154">
        <v>15</v>
      </c>
      <c r="F539" s="36"/>
      <c r="G539" s="36"/>
      <c r="H539" s="37">
        <f t="shared" ref="H539:M539" si="414">$E539</f>
        <v>15</v>
      </c>
      <c r="I539" s="37">
        <f t="shared" si="414"/>
        <v>15</v>
      </c>
      <c r="J539" s="37">
        <f t="shared" si="414"/>
        <v>15</v>
      </c>
      <c r="K539" s="37">
        <f t="shared" si="414"/>
        <v>15</v>
      </c>
      <c r="L539" s="37">
        <f t="shared" si="414"/>
        <v>15</v>
      </c>
      <c r="M539" s="37">
        <f t="shared" si="414"/>
        <v>15</v>
      </c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3.5" customHeight="1" x14ac:dyDescent="0.3">
      <c r="A540" s="35" t="s">
        <v>404</v>
      </c>
      <c r="B540" s="35"/>
      <c r="C540" s="35"/>
      <c r="D540" s="35" t="s">
        <v>93</v>
      </c>
      <c r="E540" s="3"/>
      <c r="F540" s="37">
        <f>H537</f>
        <v>2060.3185393777644</v>
      </c>
      <c r="G540" s="37"/>
      <c r="H540" s="37">
        <f>$H$538*$F540/$H$539</f>
        <v>137.35456929185096</v>
      </c>
      <c r="I540" s="37">
        <f t="shared" ref="I540:M540" si="415">IF(I$531&lt;=$H$539,$F540/$H$539,IF((I$531-$H$539)=1,$F540/$H$539*(1-$H$538),0))</f>
        <v>137.35456929185096</v>
      </c>
      <c r="J540" s="37">
        <f t="shared" si="415"/>
        <v>137.35456929185096</v>
      </c>
      <c r="K540" s="37">
        <f t="shared" si="415"/>
        <v>137.35456929185096</v>
      </c>
      <c r="L540" s="37">
        <f t="shared" si="415"/>
        <v>137.35456929185096</v>
      </c>
      <c r="M540" s="37">
        <f t="shared" si="415"/>
        <v>137.35456929185096</v>
      </c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3.5" customHeight="1" x14ac:dyDescent="0.3">
      <c r="A541" s="35" t="s">
        <v>405</v>
      </c>
      <c r="B541" s="35"/>
      <c r="C541" s="35"/>
      <c r="D541" s="35" t="s">
        <v>93</v>
      </c>
      <c r="E541" s="3"/>
      <c r="F541" s="37">
        <f>I537</f>
        <v>2653.0614550887576</v>
      </c>
      <c r="G541" s="37"/>
      <c r="H541" s="37"/>
      <c r="I541" s="37">
        <f>$I$538*$F541/$I$539</f>
        <v>176.87076367258385</v>
      </c>
      <c r="J541" s="37">
        <f t="shared" ref="J541:M541" si="416">IF(I$531&lt;=$I$539,$F541/$I$539,IF((I$531-$I$539)=1,$F541/$I$539*(1-$I$538),0))</f>
        <v>176.87076367258385</v>
      </c>
      <c r="K541" s="37">
        <f t="shared" si="416"/>
        <v>176.87076367258385</v>
      </c>
      <c r="L541" s="37">
        <f t="shared" si="416"/>
        <v>176.87076367258385</v>
      </c>
      <c r="M541" s="37">
        <f t="shared" si="416"/>
        <v>176.87076367258385</v>
      </c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3.5" customHeight="1" x14ac:dyDescent="0.3">
      <c r="A542" s="35" t="s">
        <v>406</v>
      </c>
      <c r="B542" s="35"/>
      <c r="C542" s="35"/>
      <c r="D542" s="35" t="s">
        <v>93</v>
      </c>
      <c r="E542" s="3"/>
      <c r="F542" s="37">
        <f>J537</f>
        <v>2595.8405051602067</v>
      </c>
      <c r="G542" s="37"/>
      <c r="H542" s="37"/>
      <c r="I542" s="37"/>
      <c r="J542" s="37">
        <f>$J$538*$F542/$J$539</f>
        <v>173.0560336773471</v>
      </c>
      <c r="K542" s="37">
        <f t="shared" ref="K542:M542" si="417">IF(I$531&lt;=$J$539,$F542/$J$539,IF((I$531-$J$539)=1,$F542/$J$539*(1-$J$538),0))</f>
        <v>173.0560336773471</v>
      </c>
      <c r="L542" s="37">
        <f t="shared" si="417"/>
        <v>173.0560336773471</v>
      </c>
      <c r="M542" s="37">
        <f t="shared" si="417"/>
        <v>173.0560336773471</v>
      </c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3.5" customHeight="1" x14ac:dyDescent="0.3">
      <c r="A543" s="35" t="s">
        <v>407</v>
      </c>
      <c r="B543" s="35"/>
      <c r="C543" s="35"/>
      <c r="D543" s="35" t="s">
        <v>93</v>
      </c>
      <c r="E543" s="3"/>
      <c r="F543" s="37">
        <f>K537</f>
        <v>4121.3424746200262</v>
      </c>
      <c r="G543" s="37"/>
      <c r="H543" s="37"/>
      <c r="I543" s="37"/>
      <c r="J543" s="37"/>
      <c r="K543" s="37">
        <f>$K$538*$F543/$K$539</f>
        <v>274.75616497466842</v>
      </c>
      <c r="L543" s="37">
        <f t="shared" ref="L543:M543" si="418">IF(I$531&lt;=$K$539,$F543/$K$539,IF((I$531-$K$539)=1,$F543/$K$539*(1-$K$538),0))</f>
        <v>274.75616497466842</v>
      </c>
      <c r="M543" s="37">
        <f t="shared" si="418"/>
        <v>274.75616497466842</v>
      </c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3.5" customHeight="1" x14ac:dyDescent="0.3">
      <c r="A544" s="35" t="s">
        <v>408</v>
      </c>
      <c r="B544" s="35"/>
      <c r="C544" s="35"/>
      <c r="D544" s="35" t="s">
        <v>93</v>
      </c>
      <c r="E544" s="3"/>
      <c r="F544" s="37">
        <f>L537</f>
        <v>7732.7635317732866</v>
      </c>
      <c r="G544" s="37"/>
      <c r="H544" s="37"/>
      <c r="I544" s="37"/>
      <c r="J544" s="37"/>
      <c r="K544" s="37"/>
      <c r="L544" s="37">
        <f t="shared" ref="L544:M544" si="419">$L$538*$F544/$L$539</f>
        <v>515.51756878488573</v>
      </c>
      <c r="M544" s="37">
        <f t="shared" si="419"/>
        <v>515.51756878488573</v>
      </c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3.5" customHeight="1" x14ac:dyDescent="0.3">
      <c r="A545" s="167" t="s">
        <v>409</v>
      </c>
      <c r="B545" s="167"/>
      <c r="C545" s="167"/>
      <c r="D545" s="167" t="s">
        <v>93</v>
      </c>
      <c r="E545" s="3"/>
      <c r="F545" s="36">
        <f>SUM(F540:F544)</f>
        <v>19163.326506020043</v>
      </c>
      <c r="G545" s="36"/>
      <c r="H545" s="36">
        <f t="shared" ref="H545:M545" si="420">SUM(H540:H544)</f>
        <v>137.35456929185096</v>
      </c>
      <c r="I545" s="36">
        <f t="shared" si="420"/>
        <v>314.22533296443481</v>
      </c>
      <c r="J545" s="36">
        <f t="shared" si="420"/>
        <v>487.28136664178191</v>
      </c>
      <c r="K545" s="36">
        <f t="shared" si="420"/>
        <v>762.03753161645034</v>
      </c>
      <c r="L545" s="36">
        <f t="shared" si="420"/>
        <v>1277.5551004013359</v>
      </c>
      <c r="M545" s="36">
        <f t="shared" si="420"/>
        <v>1277.5551004013359</v>
      </c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3.5" customHeight="1" x14ac:dyDescent="0.3">
      <c r="A546" s="35" t="s">
        <v>410</v>
      </c>
      <c r="B546" s="35"/>
      <c r="C546" s="137" t="s">
        <v>411</v>
      </c>
      <c r="D546" s="35" t="s">
        <v>93</v>
      </c>
      <c r="E546" s="50">
        <v>0.01</v>
      </c>
      <c r="F546" s="36">
        <f>SUM(H546:L546)</f>
        <v>0</v>
      </c>
      <c r="G546" s="36"/>
      <c r="H546" s="37">
        <f t="shared" ref="H546:M546" si="421">IF($C546="YES",$E546*H537,0)</f>
        <v>0</v>
      </c>
      <c r="I546" s="37">
        <f t="shared" si="421"/>
        <v>0</v>
      </c>
      <c r="J546" s="37">
        <f t="shared" si="421"/>
        <v>0</v>
      </c>
      <c r="K546" s="37">
        <f t="shared" si="421"/>
        <v>0</v>
      </c>
      <c r="L546" s="37">
        <f t="shared" si="421"/>
        <v>0</v>
      </c>
      <c r="M546" s="37">
        <f t="shared" si="421"/>
        <v>0</v>
      </c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3.5" customHeight="1" x14ac:dyDescent="0.3">
      <c r="A547" s="185" t="s">
        <v>401</v>
      </c>
      <c r="B547" s="185"/>
      <c r="C547" s="185"/>
      <c r="D547" s="185" t="s">
        <v>108</v>
      </c>
      <c r="E547" s="101"/>
      <c r="F547" s="169"/>
      <c r="G547" s="169"/>
      <c r="H547" s="81">
        <f t="shared" ref="H547:M547" si="422">H538</f>
        <v>1</v>
      </c>
      <c r="I547" s="81">
        <f t="shared" si="422"/>
        <v>1</v>
      </c>
      <c r="J547" s="81">
        <f t="shared" si="422"/>
        <v>1</v>
      </c>
      <c r="K547" s="81">
        <f t="shared" si="422"/>
        <v>1</v>
      </c>
      <c r="L547" s="81">
        <f t="shared" si="422"/>
        <v>1</v>
      </c>
      <c r="M547" s="81">
        <f t="shared" si="422"/>
        <v>1</v>
      </c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3.5" customHeight="1" x14ac:dyDescent="0.3">
      <c r="A548" s="35" t="s">
        <v>402</v>
      </c>
      <c r="B548" s="35"/>
      <c r="C548" s="35"/>
      <c r="D548" s="35" t="s">
        <v>403</v>
      </c>
      <c r="E548" s="154">
        <v>10</v>
      </c>
      <c r="F548" s="36"/>
      <c r="G548" s="36"/>
      <c r="H548" s="37">
        <f t="shared" ref="H548:M548" si="423">$E548</f>
        <v>10</v>
      </c>
      <c r="I548" s="37">
        <f t="shared" si="423"/>
        <v>10</v>
      </c>
      <c r="J548" s="37">
        <f t="shared" si="423"/>
        <v>10</v>
      </c>
      <c r="K548" s="37">
        <f t="shared" si="423"/>
        <v>10</v>
      </c>
      <c r="L548" s="37">
        <f t="shared" si="423"/>
        <v>10</v>
      </c>
      <c r="M548" s="37">
        <f t="shared" si="423"/>
        <v>10</v>
      </c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3.5" customHeight="1" x14ac:dyDescent="0.3">
      <c r="A549" s="35" t="s">
        <v>404</v>
      </c>
      <c r="B549" s="35"/>
      <c r="C549" s="35"/>
      <c r="D549" s="35" t="s">
        <v>93</v>
      </c>
      <c r="E549" s="3"/>
      <c r="F549" s="37">
        <f>H546</f>
        <v>0</v>
      </c>
      <c r="G549" s="37"/>
      <c r="H549" s="37">
        <f>$H$547*$F549/$H$548</f>
        <v>0</v>
      </c>
      <c r="I549" s="37">
        <f t="shared" ref="I549:M549" si="424">IF(I$531&lt;=$H$548,$F549/$H$548,IF((I$531-$H$548)=1,$F549/$H$548*(1-$H$547),0))</f>
        <v>0</v>
      </c>
      <c r="J549" s="37">
        <f t="shared" si="424"/>
        <v>0</v>
      </c>
      <c r="K549" s="37">
        <f t="shared" si="424"/>
        <v>0</v>
      </c>
      <c r="L549" s="37">
        <f t="shared" si="424"/>
        <v>0</v>
      </c>
      <c r="M549" s="37">
        <f t="shared" si="424"/>
        <v>0</v>
      </c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3.5" customHeight="1" x14ac:dyDescent="0.3">
      <c r="A550" s="35" t="s">
        <v>405</v>
      </c>
      <c r="B550" s="35"/>
      <c r="C550" s="35"/>
      <c r="D550" s="35" t="s">
        <v>93</v>
      </c>
      <c r="E550" s="3"/>
      <c r="F550" s="37">
        <f>I546</f>
        <v>0</v>
      </c>
      <c r="G550" s="37"/>
      <c r="H550" s="37"/>
      <c r="I550" s="37">
        <f>$I$547*$F550/$I$548</f>
        <v>0</v>
      </c>
      <c r="J550" s="37">
        <f t="shared" ref="J550:M550" si="425">IF(I$531&lt;=$I$548,$F550/$I$548,IF((I$531-$I$548)=1,$F550/$I$548*(1-$I$547),0))</f>
        <v>0</v>
      </c>
      <c r="K550" s="37">
        <f t="shared" si="425"/>
        <v>0</v>
      </c>
      <c r="L550" s="37">
        <f t="shared" si="425"/>
        <v>0</v>
      </c>
      <c r="M550" s="37">
        <f t="shared" si="425"/>
        <v>0</v>
      </c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3.5" customHeight="1" x14ac:dyDescent="0.3">
      <c r="A551" s="35" t="s">
        <v>406</v>
      </c>
      <c r="B551" s="35"/>
      <c r="C551" s="35"/>
      <c r="D551" s="35" t="s">
        <v>93</v>
      </c>
      <c r="E551" s="3"/>
      <c r="F551" s="37">
        <f>J546</f>
        <v>0</v>
      </c>
      <c r="G551" s="37"/>
      <c r="H551" s="37"/>
      <c r="I551" s="37"/>
      <c r="J551" s="37">
        <f>$J$547*$F551/$J$548</f>
        <v>0</v>
      </c>
      <c r="K551" s="37">
        <f t="shared" ref="K551:M551" si="426">IF(I$531&lt;=$J$548,$F551/$J$548,IF((I$531-$J$548)=1,$F551/$J$548*(1-$J$547),0))</f>
        <v>0</v>
      </c>
      <c r="L551" s="37">
        <f t="shared" si="426"/>
        <v>0</v>
      </c>
      <c r="M551" s="37">
        <f t="shared" si="426"/>
        <v>0</v>
      </c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3.5" customHeight="1" x14ac:dyDescent="0.3">
      <c r="A552" s="35" t="s">
        <v>407</v>
      </c>
      <c r="B552" s="35"/>
      <c r="C552" s="35"/>
      <c r="D552" s="35" t="s">
        <v>93</v>
      </c>
      <c r="E552" s="3"/>
      <c r="F552" s="37">
        <f>K546</f>
        <v>0</v>
      </c>
      <c r="G552" s="37"/>
      <c r="H552" s="37"/>
      <c r="I552" s="37"/>
      <c r="J552" s="37"/>
      <c r="K552" s="37">
        <f>$K$547*$F552/$K$548</f>
        <v>0</v>
      </c>
      <c r="L552" s="37">
        <f t="shared" ref="L552:M552" si="427">IF(I$531&lt;=$K$548,$F552/$K$548,IF((I$531-$K$548)=1,$F552/$K$548*(1-$K$547),0))</f>
        <v>0</v>
      </c>
      <c r="M552" s="37">
        <f t="shared" si="427"/>
        <v>0</v>
      </c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3.5" customHeight="1" x14ac:dyDescent="0.3">
      <c r="A553" s="35" t="s">
        <v>408</v>
      </c>
      <c r="B553" s="35"/>
      <c r="C553" s="35"/>
      <c r="D553" s="35" t="s">
        <v>93</v>
      </c>
      <c r="E553" s="3"/>
      <c r="F553" s="37">
        <f>L546</f>
        <v>0</v>
      </c>
      <c r="G553" s="37"/>
      <c r="H553" s="37"/>
      <c r="I553" s="37"/>
      <c r="J553" s="37"/>
      <c r="K553" s="37"/>
      <c r="L553" s="37">
        <f t="shared" ref="L553:M553" si="428">$L$547*$F553/$L$548</f>
        <v>0</v>
      </c>
      <c r="M553" s="37">
        <f t="shared" si="428"/>
        <v>0</v>
      </c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3.5" customHeight="1" x14ac:dyDescent="0.3">
      <c r="A554" s="167" t="s">
        <v>412</v>
      </c>
      <c r="B554" s="167"/>
      <c r="C554" s="167"/>
      <c r="D554" s="167" t="s">
        <v>93</v>
      </c>
      <c r="E554" s="3"/>
      <c r="F554" s="36">
        <f>SUM(F549:F553)</f>
        <v>0</v>
      </c>
      <c r="G554" s="36"/>
      <c r="H554" s="36">
        <f t="shared" ref="H554:M554" si="429">SUM(H549:H553)</f>
        <v>0</v>
      </c>
      <c r="I554" s="36">
        <f t="shared" si="429"/>
        <v>0</v>
      </c>
      <c r="J554" s="36">
        <f t="shared" si="429"/>
        <v>0</v>
      </c>
      <c r="K554" s="36">
        <f t="shared" si="429"/>
        <v>0</v>
      </c>
      <c r="L554" s="36">
        <f t="shared" si="429"/>
        <v>0</v>
      </c>
      <c r="M554" s="36">
        <f t="shared" si="429"/>
        <v>0</v>
      </c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3.5" customHeight="1" x14ac:dyDescent="0.3">
      <c r="A555" s="170" t="s">
        <v>413</v>
      </c>
      <c r="B555" s="170"/>
      <c r="C555" s="170"/>
      <c r="D555" s="170" t="s">
        <v>93</v>
      </c>
      <c r="E555" s="157"/>
      <c r="F555" s="157">
        <f>SUM(H555:L555)</f>
        <v>2978.4539009158539</v>
      </c>
      <c r="G555" s="157"/>
      <c r="H555" s="157">
        <f t="shared" ref="H555:M555" si="430">H545+H554</f>
        <v>137.35456929185096</v>
      </c>
      <c r="I555" s="157">
        <f t="shared" si="430"/>
        <v>314.22533296443481</v>
      </c>
      <c r="J555" s="157">
        <f t="shared" si="430"/>
        <v>487.28136664178191</v>
      </c>
      <c r="K555" s="157">
        <f t="shared" si="430"/>
        <v>762.03753161645034</v>
      </c>
      <c r="L555" s="157">
        <f t="shared" si="430"/>
        <v>1277.5551004013359</v>
      </c>
      <c r="M555" s="157">
        <f t="shared" si="430"/>
        <v>1277.5551004013359</v>
      </c>
      <c r="N555" s="157"/>
      <c r="O555" s="157"/>
      <c r="P555" s="157"/>
      <c r="Q555" s="157"/>
      <c r="R555" s="157"/>
      <c r="S555" s="157"/>
      <c r="T555" s="157"/>
      <c r="U555" s="157"/>
      <c r="V555" s="157"/>
      <c r="W555" s="157"/>
      <c r="X555" s="157"/>
      <c r="Y555" s="157"/>
      <c r="Z555" s="157"/>
    </row>
    <row r="556" spans="1:26" ht="13.5" customHeight="1" x14ac:dyDescent="0.3">
      <c r="A556" s="170"/>
      <c r="B556" s="170"/>
      <c r="C556" s="170"/>
      <c r="D556" s="170"/>
      <c r="E556" s="157"/>
      <c r="F556" s="157"/>
      <c r="G556" s="157"/>
      <c r="H556" s="157"/>
      <c r="I556" s="157"/>
      <c r="J556" s="157"/>
      <c r="K556" s="157"/>
      <c r="L556" s="157"/>
      <c r="M556" s="157"/>
      <c r="N556" s="157"/>
      <c r="O556" s="157"/>
      <c r="P556" s="157"/>
      <c r="Q556" s="157"/>
      <c r="R556" s="157"/>
      <c r="S556" s="157"/>
      <c r="T556" s="157"/>
      <c r="U556" s="157"/>
      <c r="V556" s="157"/>
      <c r="W556" s="157"/>
      <c r="X556" s="157"/>
      <c r="Y556" s="157"/>
      <c r="Z556" s="157"/>
    </row>
    <row r="557" spans="1:26" ht="13.5" customHeight="1" x14ac:dyDescent="0.3">
      <c r="A557" s="152"/>
      <c r="B557" s="152"/>
      <c r="C557" s="152"/>
      <c r="D557" s="35"/>
      <c r="E557" s="36"/>
      <c r="F557" s="36" t="s">
        <v>163</v>
      </c>
      <c r="G557" s="36"/>
      <c r="H557" s="37" t="s">
        <v>81</v>
      </c>
      <c r="I557" s="37" t="s">
        <v>82</v>
      </c>
      <c r="J557" s="37" t="s">
        <v>83</v>
      </c>
      <c r="K557" s="37" t="s">
        <v>84</v>
      </c>
      <c r="L557" s="37" t="s">
        <v>85</v>
      </c>
      <c r="M557" s="37" t="s">
        <v>86</v>
      </c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  <c r="Z557" s="153"/>
    </row>
    <row r="558" spans="1:26" ht="13.5" customHeight="1" x14ac:dyDescent="0.3">
      <c r="A558" s="40" t="s">
        <v>414</v>
      </c>
      <c r="B558" s="68"/>
      <c r="C558" s="68"/>
      <c r="D558" s="40" t="str">
        <f>D$58</f>
        <v>Misura</v>
      </c>
      <c r="E558" s="39" t="s">
        <v>115</v>
      </c>
      <c r="F558" s="39" t="s">
        <v>142</v>
      </c>
      <c r="G558" s="39"/>
      <c r="H558" s="57">
        <f t="shared" ref="H558:M558" si="431">H$58</f>
        <v>2022</v>
      </c>
      <c r="I558" s="57">
        <f t="shared" si="431"/>
        <v>2023</v>
      </c>
      <c r="J558" s="57">
        <f t="shared" si="431"/>
        <v>2024</v>
      </c>
      <c r="K558" s="57">
        <f t="shared" si="431"/>
        <v>2025</v>
      </c>
      <c r="L558" s="57">
        <f t="shared" si="431"/>
        <v>2026</v>
      </c>
      <c r="M558" s="57">
        <f t="shared" si="431"/>
        <v>2027</v>
      </c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3.5" customHeight="1" x14ac:dyDescent="0.3">
      <c r="A559" s="35"/>
      <c r="B559" s="35"/>
      <c r="C559" s="35"/>
      <c r="D559" s="35"/>
      <c r="E559" s="37"/>
      <c r="F559" s="36"/>
      <c r="G559" s="36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3.5" customHeight="1" x14ac:dyDescent="0.3">
      <c r="A560" s="167" t="s">
        <v>415</v>
      </c>
      <c r="B560" s="167"/>
      <c r="C560" s="167"/>
      <c r="D560" s="167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3.5" customHeight="1" x14ac:dyDescent="0.3">
      <c r="A561" s="35" t="s">
        <v>416</v>
      </c>
      <c r="B561" s="35"/>
      <c r="C561" s="35"/>
      <c r="D561" s="35" t="s">
        <v>93</v>
      </c>
      <c r="E561" s="37"/>
      <c r="F561" s="36"/>
      <c r="G561" s="36"/>
      <c r="H561" s="37">
        <f t="shared" ref="H561:M561" si="432">SUM($H537:H537)</f>
        <v>2060.3185393777644</v>
      </c>
      <c r="I561" s="37">
        <f t="shared" si="432"/>
        <v>4713.3799944665225</v>
      </c>
      <c r="J561" s="37">
        <f t="shared" si="432"/>
        <v>7309.2204996267292</v>
      </c>
      <c r="K561" s="37">
        <f t="shared" si="432"/>
        <v>11430.562974246755</v>
      </c>
      <c r="L561" s="37">
        <f t="shared" si="432"/>
        <v>19163.326506020043</v>
      </c>
      <c r="M561" s="37">
        <f t="shared" si="432"/>
        <v>20559.793601496509</v>
      </c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3.5" customHeight="1" x14ac:dyDescent="0.3">
      <c r="A562" s="35" t="s">
        <v>417</v>
      </c>
      <c r="B562" s="35"/>
      <c r="C562" s="35"/>
      <c r="D562" s="35" t="s">
        <v>93</v>
      </c>
      <c r="E562" s="37"/>
      <c r="F562" s="36"/>
      <c r="G562" s="36"/>
      <c r="H562" s="37">
        <f>H545</f>
        <v>137.35456929185096</v>
      </c>
      <c r="I562" s="37">
        <f t="shared" ref="I562:M562" si="433">I545+H562</f>
        <v>451.57990225628578</v>
      </c>
      <c r="J562" s="37">
        <f t="shared" si="433"/>
        <v>938.86126889806769</v>
      </c>
      <c r="K562" s="37">
        <f t="shared" si="433"/>
        <v>1700.8988005145179</v>
      </c>
      <c r="L562" s="37">
        <f t="shared" si="433"/>
        <v>2978.4539009158539</v>
      </c>
      <c r="M562" s="37">
        <f t="shared" si="433"/>
        <v>4256.0090013171903</v>
      </c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3.5" customHeight="1" x14ac:dyDescent="0.3">
      <c r="A563" s="170" t="s">
        <v>418</v>
      </c>
      <c r="B563" s="170"/>
      <c r="C563" s="170"/>
      <c r="D563" s="170" t="s">
        <v>93</v>
      </c>
      <c r="E563" s="157"/>
      <c r="F563" s="157"/>
      <c r="G563" s="157"/>
      <c r="H563" s="157">
        <f t="shared" ref="H563:M563" si="434">H561-H562</f>
        <v>1922.9639700859134</v>
      </c>
      <c r="I563" s="157">
        <f t="shared" si="434"/>
        <v>4261.8000922102365</v>
      </c>
      <c r="J563" s="157">
        <f t="shared" si="434"/>
        <v>6370.3592307286617</v>
      </c>
      <c r="K563" s="157">
        <f t="shared" si="434"/>
        <v>9729.664173732237</v>
      </c>
      <c r="L563" s="157">
        <f t="shared" si="434"/>
        <v>16184.872605104189</v>
      </c>
      <c r="M563" s="157">
        <f t="shared" si="434"/>
        <v>16303.784600179319</v>
      </c>
      <c r="N563" s="157"/>
      <c r="O563" s="157"/>
      <c r="P563" s="157"/>
      <c r="Q563" s="157"/>
      <c r="R563" s="157"/>
      <c r="S563" s="157"/>
      <c r="T563" s="157"/>
      <c r="U563" s="157"/>
      <c r="V563" s="157"/>
      <c r="W563" s="157"/>
      <c r="X563" s="157"/>
      <c r="Y563" s="157"/>
      <c r="Z563" s="157"/>
    </row>
    <row r="564" spans="1:26" ht="13.5" customHeight="1" x14ac:dyDescent="0.3">
      <c r="A564" s="35"/>
      <c r="B564" s="35"/>
      <c r="C564" s="35"/>
      <c r="D564" s="35"/>
      <c r="E564" s="37"/>
      <c r="F564" s="36"/>
      <c r="G564" s="36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3.5" customHeight="1" x14ac:dyDescent="0.3">
      <c r="A565" s="167" t="s">
        <v>419</v>
      </c>
      <c r="B565" s="167"/>
      <c r="C565" s="167"/>
      <c r="D565" s="167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3.5" customHeight="1" x14ac:dyDescent="0.3">
      <c r="A566" s="35" t="s">
        <v>416</v>
      </c>
      <c r="B566" s="35"/>
      <c r="C566" s="35"/>
      <c r="D566" s="35" t="s">
        <v>93</v>
      </c>
      <c r="E566" s="37"/>
      <c r="F566" s="36"/>
      <c r="G566" s="36"/>
      <c r="H566" s="37">
        <f t="shared" ref="H566:M566" si="435">SUM($H546:H546)</f>
        <v>0</v>
      </c>
      <c r="I566" s="37">
        <f t="shared" si="435"/>
        <v>0</v>
      </c>
      <c r="J566" s="37">
        <f t="shared" si="435"/>
        <v>0</v>
      </c>
      <c r="K566" s="37">
        <f t="shared" si="435"/>
        <v>0</v>
      </c>
      <c r="L566" s="37">
        <f t="shared" si="435"/>
        <v>0</v>
      </c>
      <c r="M566" s="37">
        <f t="shared" si="435"/>
        <v>0</v>
      </c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3.5" customHeight="1" x14ac:dyDescent="0.3">
      <c r="A567" s="35" t="s">
        <v>417</v>
      </c>
      <c r="B567" s="35"/>
      <c r="C567" s="35"/>
      <c r="D567" s="35" t="s">
        <v>93</v>
      </c>
      <c r="E567" s="37"/>
      <c r="F567" s="36"/>
      <c r="G567" s="36"/>
      <c r="H567" s="37">
        <f>H554</f>
        <v>0</v>
      </c>
      <c r="I567" s="37">
        <f t="shared" ref="I567:M567" si="436">I554+H567</f>
        <v>0</v>
      </c>
      <c r="J567" s="37">
        <f t="shared" si="436"/>
        <v>0</v>
      </c>
      <c r="K567" s="37">
        <f t="shared" si="436"/>
        <v>0</v>
      </c>
      <c r="L567" s="37">
        <f t="shared" si="436"/>
        <v>0</v>
      </c>
      <c r="M567" s="37">
        <f t="shared" si="436"/>
        <v>0</v>
      </c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3.5" customHeight="1" x14ac:dyDescent="0.3">
      <c r="A568" s="170" t="s">
        <v>418</v>
      </c>
      <c r="B568" s="170"/>
      <c r="C568" s="170"/>
      <c r="D568" s="170" t="s">
        <v>93</v>
      </c>
      <c r="E568" s="157"/>
      <c r="F568" s="157"/>
      <c r="G568" s="157"/>
      <c r="H568" s="157">
        <f t="shared" ref="H568:M568" si="437">H566-H567</f>
        <v>0</v>
      </c>
      <c r="I568" s="157">
        <f t="shared" si="437"/>
        <v>0</v>
      </c>
      <c r="J568" s="157">
        <f t="shared" si="437"/>
        <v>0</v>
      </c>
      <c r="K568" s="157">
        <f t="shared" si="437"/>
        <v>0</v>
      </c>
      <c r="L568" s="157">
        <f t="shared" si="437"/>
        <v>0</v>
      </c>
      <c r="M568" s="157">
        <f t="shared" si="437"/>
        <v>0</v>
      </c>
      <c r="N568" s="157"/>
      <c r="O568" s="157"/>
      <c r="P568" s="157"/>
      <c r="Q568" s="157"/>
      <c r="R568" s="157"/>
      <c r="S568" s="157"/>
      <c r="T568" s="157"/>
      <c r="U568" s="157"/>
      <c r="V568" s="157"/>
      <c r="W568" s="157"/>
      <c r="X568" s="157"/>
      <c r="Y568" s="157"/>
      <c r="Z568" s="157"/>
    </row>
    <row r="569" spans="1:26" ht="13.5" customHeight="1" x14ac:dyDescent="0.3">
      <c r="A569" s="35"/>
      <c r="B569" s="35"/>
      <c r="C569" s="35"/>
      <c r="D569" s="35"/>
      <c r="E569" s="37"/>
      <c r="F569" s="36"/>
      <c r="G569" s="36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3.5" customHeight="1" x14ac:dyDescent="0.3">
      <c r="A570" s="35"/>
      <c r="B570" s="35"/>
      <c r="C570" s="35"/>
      <c r="D570" s="35"/>
      <c r="E570" s="37"/>
      <c r="F570" s="36"/>
      <c r="G570" s="36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3.5" customHeight="1" outlineLevel="1" x14ac:dyDescent="0.3">
      <c r="A571" s="94"/>
      <c r="B571" s="94"/>
      <c r="C571" s="94"/>
      <c r="D571" s="94"/>
      <c r="E571" s="95"/>
      <c r="F571" s="96"/>
      <c r="G571" s="96"/>
      <c r="H571" s="95"/>
      <c r="I571" s="95"/>
      <c r="J571" s="95"/>
      <c r="K571" s="95"/>
      <c r="L571" s="95"/>
      <c r="M571" s="95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3.5" customHeight="1" x14ac:dyDescent="0.3">
      <c r="A572" s="35"/>
      <c r="B572" s="35"/>
      <c r="C572" s="35"/>
      <c r="D572" s="35"/>
      <c r="E572" s="37"/>
      <c r="F572" s="36"/>
      <c r="G572" s="36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3.5" customHeight="1" x14ac:dyDescent="0.3">
      <c r="A573" s="64" t="s">
        <v>420</v>
      </c>
      <c r="B573" s="65"/>
      <c r="C573" s="65"/>
      <c r="D573" s="65"/>
      <c r="E573" s="66"/>
      <c r="F573" s="67"/>
      <c r="G573" s="67"/>
      <c r="H573" s="66"/>
      <c r="I573" s="66"/>
      <c r="J573" s="66"/>
      <c r="K573" s="66"/>
      <c r="L573" s="66"/>
      <c r="M573" s="66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3.5" customHeight="1" x14ac:dyDescent="0.3">
      <c r="A574" s="152"/>
      <c r="B574" s="152"/>
      <c r="C574" s="152"/>
      <c r="D574" s="35"/>
      <c r="E574" s="36"/>
      <c r="F574" s="36"/>
      <c r="G574" s="36"/>
      <c r="H574" s="37">
        <v>1</v>
      </c>
      <c r="I574" s="37">
        <v>2</v>
      </c>
      <c r="J574" s="37">
        <v>3</v>
      </c>
      <c r="K574" s="37">
        <v>4</v>
      </c>
      <c r="L574" s="37">
        <v>5</v>
      </c>
      <c r="M574" s="37">
        <v>5</v>
      </c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  <c r="Z574" s="153"/>
    </row>
    <row r="575" spans="1:26" ht="13.5" customHeight="1" x14ac:dyDescent="0.3">
      <c r="A575" s="152"/>
      <c r="B575" s="152"/>
      <c r="C575" s="152"/>
      <c r="D575" s="35"/>
      <c r="E575" s="36"/>
      <c r="F575" s="36" t="s">
        <v>163</v>
      </c>
      <c r="G575" s="36"/>
      <c r="H575" s="37" t="s">
        <v>81</v>
      </c>
      <c r="I575" s="37" t="s">
        <v>82</v>
      </c>
      <c r="J575" s="37" t="s">
        <v>83</v>
      </c>
      <c r="K575" s="37" t="s">
        <v>84</v>
      </c>
      <c r="L575" s="37" t="s">
        <v>85</v>
      </c>
      <c r="M575" s="37" t="s">
        <v>86</v>
      </c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  <c r="Z575" s="153"/>
    </row>
    <row r="576" spans="1:26" ht="13.5" customHeight="1" x14ac:dyDescent="0.3">
      <c r="A576" s="40" t="s">
        <v>421</v>
      </c>
      <c r="B576" s="68"/>
      <c r="C576" s="68"/>
      <c r="D576" s="40" t="str">
        <f>D$58</f>
        <v>Misura</v>
      </c>
      <c r="E576" s="39" t="s">
        <v>115</v>
      </c>
      <c r="F576" s="39" t="s">
        <v>142</v>
      </c>
      <c r="G576" s="39"/>
      <c r="H576" s="57">
        <f t="shared" ref="H576:M576" si="438">H$58</f>
        <v>2022</v>
      </c>
      <c r="I576" s="57">
        <f t="shared" si="438"/>
        <v>2023</v>
      </c>
      <c r="J576" s="57">
        <f t="shared" si="438"/>
        <v>2024</v>
      </c>
      <c r="K576" s="57">
        <f t="shared" si="438"/>
        <v>2025</v>
      </c>
      <c r="L576" s="57">
        <f t="shared" si="438"/>
        <v>2026</v>
      </c>
      <c r="M576" s="57">
        <f t="shared" si="438"/>
        <v>2027</v>
      </c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3.5" customHeight="1" x14ac:dyDescent="0.3">
      <c r="A577" s="35" t="s">
        <v>422</v>
      </c>
      <c r="B577" s="35"/>
      <c r="C577" s="35"/>
      <c r="D577" s="35" t="s">
        <v>93</v>
      </c>
      <c r="E577" s="37"/>
      <c r="F577" s="36">
        <f t="shared" ref="F577:F583" si="439">SUM(H577:L577)</f>
        <v>0</v>
      </c>
      <c r="G577" s="36"/>
      <c r="H577" s="154">
        <v>0</v>
      </c>
      <c r="I577" s="154">
        <v>0</v>
      </c>
      <c r="J577" s="154">
        <v>0</v>
      </c>
      <c r="K577" s="154">
        <v>0</v>
      </c>
      <c r="L577" s="154">
        <v>0</v>
      </c>
      <c r="M577" s="154">
        <v>0</v>
      </c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3.5" customHeight="1" x14ac:dyDescent="0.3">
      <c r="A578" s="35" t="s">
        <v>423</v>
      </c>
      <c r="B578" s="35"/>
      <c r="C578" s="35"/>
      <c r="D578" s="35" t="s">
        <v>93</v>
      </c>
      <c r="E578" s="37"/>
      <c r="F578" s="36">
        <f t="shared" si="439"/>
        <v>0</v>
      </c>
      <c r="G578" s="36"/>
      <c r="H578" s="154">
        <v>0</v>
      </c>
      <c r="I578" s="154">
        <v>0</v>
      </c>
      <c r="J578" s="154">
        <v>0</v>
      </c>
      <c r="K578" s="154">
        <v>0</v>
      </c>
      <c r="L578" s="154">
        <v>0</v>
      </c>
      <c r="M578" s="154">
        <v>0</v>
      </c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3.5" customHeight="1" x14ac:dyDescent="0.3">
      <c r="A579" s="167" t="s">
        <v>424</v>
      </c>
      <c r="B579" s="167"/>
      <c r="C579" s="167"/>
      <c r="D579" s="167" t="s">
        <v>93</v>
      </c>
      <c r="E579" s="36"/>
      <c r="F579" s="36">
        <f t="shared" si="439"/>
        <v>0</v>
      </c>
      <c r="G579" s="36"/>
      <c r="H579" s="36">
        <f t="shared" ref="H579:M579" si="440">SUM(H577:H578)</f>
        <v>0</v>
      </c>
      <c r="I579" s="36">
        <f t="shared" si="440"/>
        <v>0</v>
      </c>
      <c r="J579" s="36">
        <f t="shared" si="440"/>
        <v>0</v>
      </c>
      <c r="K579" s="36">
        <f t="shared" si="440"/>
        <v>0</v>
      </c>
      <c r="L579" s="36">
        <f t="shared" si="440"/>
        <v>0</v>
      </c>
      <c r="M579" s="36">
        <f t="shared" si="440"/>
        <v>0</v>
      </c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3.5" customHeight="1" x14ac:dyDescent="0.3">
      <c r="A580" s="35" t="s">
        <v>425</v>
      </c>
      <c r="B580" s="35"/>
      <c r="C580" s="35"/>
      <c r="D580" s="35" t="s">
        <v>93</v>
      </c>
      <c r="E580" s="37"/>
      <c r="F580" s="36">
        <f t="shared" si="439"/>
        <v>0</v>
      </c>
      <c r="G580" s="36"/>
      <c r="H580" s="154">
        <v>0</v>
      </c>
      <c r="I580" s="154">
        <v>0</v>
      </c>
      <c r="J580" s="154">
        <v>0</v>
      </c>
      <c r="K580" s="154">
        <v>0</v>
      </c>
      <c r="L580" s="154">
        <v>0</v>
      </c>
      <c r="M580" s="154">
        <v>0</v>
      </c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3.5" customHeight="1" x14ac:dyDescent="0.3">
      <c r="A581" s="35" t="s">
        <v>426</v>
      </c>
      <c r="B581" s="35"/>
      <c r="C581" s="35"/>
      <c r="D581" s="35" t="s">
        <v>93</v>
      </c>
      <c r="E581" s="37"/>
      <c r="F581" s="36">
        <f t="shared" si="439"/>
        <v>0</v>
      </c>
      <c r="G581" s="36"/>
      <c r="H581" s="154">
        <v>0</v>
      </c>
      <c r="I581" s="154">
        <v>0</v>
      </c>
      <c r="J581" s="154">
        <v>0</v>
      </c>
      <c r="K581" s="154">
        <v>0</v>
      </c>
      <c r="L581" s="154">
        <v>0</v>
      </c>
      <c r="M581" s="154">
        <v>0</v>
      </c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3.5" customHeight="1" x14ac:dyDescent="0.3">
      <c r="A582" s="167" t="s">
        <v>427</v>
      </c>
      <c r="B582" s="167"/>
      <c r="C582" s="167"/>
      <c r="D582" s="167" t="s">
        <v>93</v>
      </c>
      <c r="E582" s="36"/>
      <c r="F582" s="36">
        <f t="shared" si="439"/>
        <v>0</v>
      </c>
      <c r="G582" s="36"/>
      <c r="H582" s="36">
        <f t="shared" ref="H582:M582" si="441">SUM(H580:H581)</f>
        <v>0</v>
      </c>
      <c r="I582" s="36">
        <f t="shared" si="441"/>
        <v>0</v>
      </c>
      <c r="J582" s="36">
        <f t="shared" si="441"/>
        <v>0</v>
      </c>
      <c r="K582" s="36">
        <f t="shared" si="441"/>
        <v>0</v>
      </c>
      <c r="L582" s="36">
        <f t="shared" si="441"/>
        <v>0</v>
      </c>
      <c r="M582" s="36">
        <f t="shared" si="441"/>
        <v>0</v>
      </c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3.5" customHeight="1" x14ac:dyDescent="0.3">
      <c r="A583" s="170" t="s">
        <v>428</v>
      </c>
      <c r="B583" s="170"/>
      <c r="C583" s="170"/>
      <c r="D583" s="170" t="s">
        <v>93</v>
      </c>
      <c r="E583" s="157"/>
      <c r="F583" s="157">
        <f t="shared" si="439"/>
        <v>0</v>
      </c>
      <c r="G583" s="157"/>
      <c r="H583" s="157">
        <f t="shared" ref="H583:M583" si="442">H579+H582</f>
        <v>0</v>
      </c>
      <c r="I583" s="157">
        <f t="shared" si="442"/>
        <v>0</v>
      </c>
      <c r="J583" s="157">
        <f t="shared" si="442"/>
        <v>0</v>
      </c>
      <c r="K583" s="157">
        <f t="shared" si="442"/>
        <v>0</v>
      </c>
      <c r="L583" s="157">
        <f t="shared" si="442"/>
        <v>0</v>
      </c>
      <c r="M583" s="157">
        <f t="shared" si="442"/>
        <v>0</v>
      </c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  <c r="Y583" s="157"/>
      <c r="Z583" s="157"/>
    </row>
    <row r="584" spans="1:26" ht="13.5" customHeight="1" x14ac:dyDescent="0.3">
      <c r="A584" s="35" t="s">
        <v>429</v>
      </c>
      <c r="B584" s="35"/>
      <c r="C584" s="35"/>
      <c r="D584" s="35" t="s">
        <v>93</v>
      </c>
      <c r="E584" s="37"/>
      <c r="F584" s="37"/>
      <c r="G584" s="37"/>
      <c r="H584" s="37">
        <f>H579</f>
        <v>0</v>
      </c>
      <c r="I584" s="37">
        <f t="shared" ref="I584:M584" si="443">H584+I579</f>
        <v>0</v>
      </c>
      <c r="J584" s="37">
        <f t="shared" si="443"/>
        <v>0</v>
      </c>
      <c r="K584" s="37">
        <f t="shared" si="443"/>
        <v>0</v>
      </c>
      <c r="L584" s="37">
        <f t="shared" si="443"/>
        <v>0</v>
      </c>
      <c r="M584" s="37">
        <f t="shared" si="443"/>
        <v>0</v>
      </c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3.5" customHeight="1" x14ac:dyDescent="0.3">
      <c r="A585" s="35" t="s">
        <v>430</v>
      </c>
      <c r="B585" s="35"/>
      <c r="C585" s="35"/>
      <c r="D585" s="35" t="s">
        <v>93</v>
      </c>
      <c r="E585" s="37"/>
      <c r="F585" s="37"/>
      <c r="G585" s="37"/>
      <c r="H585" s="37">
        <f>H582</f>
        <v>0</v>
      </c>
      <c r="I585" s="37">
        <f t="shared" ref="I585:M585" si="444">H585+I582</f>
        <v>0</v>
      </c>
      <c r="J585" s="37">
        <f t="shared" si="444"/>
        <v>0</v>
      </c>
      <c r="K585" s="37">
        <f t="shared" si="444"/>
        <v>0</v>
      </c>
      <c r="L585" s="37">
        <f t="shared" si="444"/>
        <v>0</v>
      </c>
      <c r="M585" s="37">
        <f t="shared" si="444"/>
        <v>0</v>
      </c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3.5" customHeight="1" x14ac:dyDescent="0.3">
      <c r="A586" s="167" t="s">
        <v>416</v>
      </c>
      <c r="B586" s="167"/>
      <c r="C586" s="167"/>
      <c r="D586" s="167" t="s">
        <v>93</v>
      </c>
      <c r="E586" s="36"/>
      <c r="F586" s="36"/>
      <c r="G586" s="36"/>
      <c r="H586" s="36">
        <f t="shared" ref="H586:M586" si="445">SUM(H584:H585)</f>
        <v>0</v>
      </c>
      <c r="I586" s="36">
        <f t="shared" si="445"/>
        <v>0</v>
      </c>
      <c r="J586" s="36">
        <f t="shared" si="445"/>
        <v>0</v>
      </c>
      <c r="K586" s="36">
        <f t="shared" si="445"/>
        <v>0</v>
      </c>
      <c r="L586" s="36">
        <f t="shared" si="445"/>
        <v>0</v>
      </c>
      <c r="M586" s="36">
        <f t="shared" si="445"/>
        <v>0</v>
      </c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3.5" customHeight="1" x14ac:dyDescent="0.3">
      <c r="A587" s="35" t="s">
        <v>404</v>
      </c>
      <c r="B587" s="35">
        <v>1</v>
      </c>
      <c r="C587" s="35"/>
      <c r="D587" s="35" t="s">
        <v>93</v>
      </c>
      <c r="E587" s="37">
        <f>H579</f>
        <v>0</v>
      </c>
      <c r="F587" s="36">
        <f t="shared" ref="F587:F599" si="446">SUM(H587:L587)</f>
        <v>0</v>
      </c>
      <c r="G587" s="36"/>
      <c r="H587" s="37">
        <f t="shared" ref="H587:M587" si="447">IF(OR(H$574=$B587,H$574=IF($E$592=0,0,1/$E$592+$B587)),$E587*$E$592*50%,IF(H$574&lt;IF($E$592=0,0,1/$E$592+$B587),$E587*$E$592,0))</f>
        <v>0</v>
      </c>
      <c r="I587" s="37">
        <f t="shared" si="447"/>
        <v>0</v>
      </c>
      <c r="J587" s="37">
        <f t="shared" si="447"/>
        <v>0</v>
      </c>
      <c r="K587" s="37">
        <f t="shared" si="447"/>
        <v>0</v>
      </c>
      <c r="L587" s="37">
        <f t="shared" si="447"/>
        <v>0</v>
      </c>
      <c r="M587" s="37">
        <f t="shared" si="447"/>
        <v>0</v>
      </c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3.5" customHeight="1" x14ac:dyDescent="0.3">
      <c r="A588" s="35" t="s">
        <v>405</v>
      </c>
      <c r="B588" s="35">
        <v>2</v>
      </c>
      <c r="C588" s="35"/>
      <c r="D588" s="35" t="s">
        <v>93</v>
      </c>
      <c r="E588" s="37">
        <f>I579</f>
        <v>0</v>
      </c>
      <c r="F588" s="36">
        <f t="shared" si="446"/>
        <v>0</v>
      </c>
      <c r="G588" s="36"/>
      <c r="H588" s="37"/>
      <c r="I588" s="37">
        <f t="shared" ref="I588:M588" si="448">IF(OR(I$574=$B588,I$574=IF($E$592=0,0,1/$E$592+$B588)),$E588*$E$592*50%,IF(I$574&lt;IF($E$592=0,0,1/$E$592+$B588),$E588*$E$592,0))</f>
        <v>0</v>
      </c>
      <c r="J588" s="37">
        <f t="shared" si="448"/>
        <v>0</v>
      </c>
      <c r="K588" s="37">
        <f t="shared" si="448"/>
        <v>0</v>
      </c>
      <c r="L588" s="37">
        <f t="shared" si="448"/>
        <v>0</v>
      </c>
      <c r="M588" s="37">
        <f t="shared" si="448"/>
        <v>0</v>
      </c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3.5" customHeight="1" x14ac:dyDescent="0.3">
      <c r="A589" s="35" t="s">
        <v>406</v>
      </c>
      <c r="B589" s="35">
        <v>3</v>
      </c>
      <c r="C589" s="35"/>
      <c r="D589" s="35" t="s">
        <v>93</v>
      </c>
      <c r="E589" s="37">
        <f>J579</f>
        <v>0</v>
      </c>
      <c r="F589" s="36">
        <f t="shared" si="446"/>
        <v>0</v>
      </c>
      <c r="G589" s="36"/>
      <c r="H589" s="37"/>
      <c r="I589" s="37"/>
      <c r="J589" s="37">
        <f t="shared" ref="J589:M589" si="449">IF(OR(J$574=$B589,J$574=IF($E$592=0,0,1/$E$592+$B589)),$E589*$E$592*50%,IF(J$574&lt;IF($E$592=0,0,1/$E$592+$B589),$E589*$E$592,0))</f>
        <v>0</v>
      </c>
      <c r="K589" s="37">
        <f t="shared" si="449"/>
        <v>0</v>
      </c>
      <c r="L589" s="37">
        <f t="shared" si="449"/>
        <v>0</v>
      </c>
      <c r="M589" s="37">
        <f t="shared" si="449"/>
        <v>0</v>
      </c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3.5" customHeight="1" x14ac:dyDescent="0.3">
      <c r="A590" s="35" t="s">
        <v>407</v>
      </c>
      <c r="B590" s="35">
        <v>4</v>
      </c>
      <c r="C590" s="35"/>
      <c r="D590" s="35" t="s">
        <v>93</v>
      </c>
      <c r="E590" s="37">
        <f>K579</f>
        <v>0</v>
      </c>
      <c r="F590" s="36">
        <f t="shared" si="446"/>
        <v>0</v>
      </c>
      <c r="G590" s="36"/>
      <c r="H590" s="37"/>
      <c r="I590" s="37"/>
      <c r="J590" s="37"/>
      <c r="K590" s="37">
        <f t="shared" ref="K590:M590" si="450">IF(OR(K$574=$B590,K$574=IF($E$592=0,0,1/$E$592+$B590)),$E590*$E$592*50%,IF(K$574&lt;IF($E$592=0,0,1/$E$592+$B590),$E590*$E$592,0))</f>
        <v>0</v>
      </c>
      <c r="L590" s="37">
        <f t="shared" si="450"/>
        <v>0</v>
      </c>
      <c r="M590" s="37">
        <f t="shared" si="450"/>
        <v>0</v>
      </c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3.5" customHeight="1" x14ac:dyDescent="0.3">
      <c r="A591" s="35" t="s">
        <v>408</v>
      </c>
      <c r="B591" s="35">
        <v>5</v>
      </c>
      <c r="C591" s="35"/>
      <c r="D591" s="35" t="s">
        <v>93</v>
      </c>
      <c r="E591" s="37">
        <f>L579</f>
        <v>0</v>
      </c>
      <c r="F591" s="36">
        <f t="shared" si="446"/>
        <v>0</v>
      </c>
      <c r="G591" s="36"/>
      <c r="H591" s="37"/>
      <c r="I591" s="37"/>
      <c r="J591" s="37"/>
      <c r="K591" s="37"/>
      <c r="L591" s="37">
        <f t="shared" ref="L591:M591" si="451">IF(OR(L$574=$B591,L$574=IF($E$592=0,0,1/$E$592+$B591)),$E591*$E$592*50%,IF(L$574&lt;IF($E$592=0,0,1/$E$592+$B591),$E591*$E$592,0))</f>
        <v>0</v>
      </c>
      <c r="M591" s="37">
        <f t="shared" si="451"/>
        <v>0</v>
      </c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3.5" customHeight="1" x14ac:dyDescent="0.3">
      <c r="A592" s="167" t="s">
        <v>431</v>
      </c>
      <c r="B592" s="167"/>
      <c r="C592" s="167"/>
      <c r="D592" s="167" t="s">
        <v>93</v>
      </c>
      <c r="E592" s="186">
        <v>0.1</v>
      </c>
      <c r="F592" s="36">
        <f t="shared" si="446"/>
        <v>0</v>
      </c>
      <c r="G592" s="36"/>
      <c r="H592" s="36">
        <f t="shared" ref="H592:M592" si="452">SUM(H587:H591)</f>
        <v>0</v>
      </c>
      <c r="I592" s="36">
        <f t="shared" si="452"/>
        <v>0</v>
      </c>
      <c r="J592" s="36">
        <f t="shared" si="452"/>
        <v>0</v>
      </c>
      <c r="K592" s="36">
        <f t="shared" si="452"/>
        <v>0</v>
      </c>
      <c r="L592" s="36">
        <f t="shared" si="452"/>
        <v>0</v>
      </c>
      <c r="M592" s="36">
        <f t="shared" si="452"/>
        <v>0</v>
      </c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3.5" customHeight="1" x14ac:dyDescent="0.3">
      <c r="A593" s="35" t="s">
        <v>404</v>
      </c>
      <c r="B593" s="35">
        <v>1</v>
      </c>
      <c r="C593" s="35"/>
      <c r="D593" s="35" t="s">
        <v>93</v>
      </c>
      <c r="E593" s="37">
        <f>H582</f>
        <v>0</v>
      </c>
      <c r="F593" s="36">
        <f t="shared" si="446"/>
        <v>0</v>
      </c>
      <c r="G593" s="36"/>
      <c r="H593" s="37">
        <f t="shared" ref="H593:M593" si="453">IF(OR(H$574=$B593,H$574=IF($E$598=0,0,1/$E$598+$B593)),$E593*$E$598*50%,IF(H$574&lt;IF($E$598=0,0,1/$E$598+$B593),$E593*$E$598,0))</f>
        <v>0</v>
      </c>
      <c r="I593" s="37">
        <f t="shared" si="453"/>
        <v>0</v>
      </c>
      <c r="J593" s="37">
        <f t="shared" si="453"/>
        <v>0</v>
      </c>
      <c r="K593" s="37">
        <f t="shared" si="453"/>
        <v>0</v>
      </c>
      <c r="L593" s="37">
        <f t="shared" si="453"/>
        <v>0</v>
      </c>
      <c r="M593" s="37">
        <f t="shared" si="453"/>
        <v>0</v>
      </c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3.5" customHeight="1" x14ac:dyDescent="0.3">
      <c r="A594" s="35" t="s">
        <v>405</v>
      </c>
      <c r="B594" s="35">
        <v>2</v>
      </c>
      <c r="C594" s="35"/>
      <c r="D594" s="35" t="s">
        <v>93</v>
      </c>
      <c r="E594" s="37">
        <f>I582</f>
        <v>0</v>
      </c>
      <c r="F594" s="36">
        <f t="shared" si="446"/>
        <v>0</v>
      </c>
      <c r="G594" s="36"/>
      <c r="H594" s="37"/>
      <c r="I594" s="37">
        <f t="shared" ref="I594:M594" si="454">IF(OR(I$574=$B594,I$574=IF($E$598=0,0,1/$E$598+$B594)),$E594*$E$598*50%,IF(I$574&lt;IF($E$598=0,0,1/$E$598+$B594),$E594*$E$598,0))</f>
        <v>0</v>
      </c>
      <c r="J594" s="37">
        <f t="shared" si="454"/>
        <v>0</v>
      </c>
      <c r="K594" s="37">
        <f t="shared" si="454"/>
        <v>0</v>
      </c>
      <c r="L594" s="37">
        <f t="shared" si="454"/>
        <v>0</v>
      </c>
      <c r="M594" s="37">
        <f t="shared" si="454"/>
        <v>0</v>
      </c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3.5" customHeight="1" x14ac:dyDescent="0.3">
      <c r="A595" s="35" t="s">
        <v>406</v>
      </c>
      <c r="B595" s="35">
        <v>3</v>
      </c>
      <c r="C595" s="35"/>
      <c r="D595" s="35" t="s">
        <v>93</v>
      </c>
      <c r="E595" s="37">
        <f>J582</f>
        <v>0</v>
      </c>
      <c r="F595" s="36">
        <f t="shared" si="446"/>
        <v>0</v>
      </c>
      <c r="G595" s="36"/>
      <c r="H595" s="37"/>
      <c r="I595" s="37"/>
      <c r="J595" s="37">
        <f t="shared" ref="J595:M595" si="455">IF(OR(J$574=$B595,J$574=IF($E$598=0,0,1/$E$598+$B595)),$E595*$E$598*50%,IF(J$574&lt;IF($E$598=0,0,1/$E$598+$B595),$E595*$E$598,0))</f>
        <v>0</v>
      </c>
      <c r="K595" s="37">
        <f t="shared" si="455"/>
        <v>0</v>
      </c>
      <c r="L595" s="37">
        <f t="shared" si="455"/>
        <v>0</v>
      </c>
      <c r="M595" s="37">
        <f t="shared" si="455"/>
        <v>0</v>
      </c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3.5" customHeight="1" x14ac:dyDescent="0.3">
      <c r="A596" s="35" t="s">
        <v>407</v>
      </c>
      <c r="B596" s="35">
        <v>4</v>
      </c>
      <c r="C596" s="35"/>
      <c r="D596" s="35" t="s">
        <v>93</v>
      </c>
      <c r="E596" s="37">
        <f>K582</f>
        <v>0</v>
      </c>
      <c r="F596" s="36">
        <f t="shared" si="446"/>
        <v>0</v>
      </c>
      <c r="G596" s="36"/>
      <c r="H596" s="37"/>
      <c r="I596" s="37"/>
      <c r="J596" s="37"/>
      <c r="K596" s="37">
        <f t="shared" ref="K596:M596" si="456">IF(OR(K$574=$B596,K$574=IF($E$598=0,0,1/$E$598+$B596)),$E596*$E$598*50%,IF(K$574&lt;IF($E$598=0,0,1/$E$598+$B596),$E596*$E$598,0))</f>
        <v>0</v>
      </c>
      <c r="L596" s="37">
        <f t="shared" si="456"/>
        <v>0</v>
      </c>
      <c r="M596" s="37">
        <f t="shared" si="456"/>
        <v>0</v>
      </c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3.5" customHeight="1" x14ac:dyDescent="0.3">
      <c r="A597" s="35" t="s">
        <v>408</v>
      </c>
      <c r="B597" s="35">
        <v>5</v>
      </c>
      <c r="C597" s="35"/>
      <c r="D597" s="35" t="s">
        <v>93</v>
      </c>
      <c r="E597" s="37">
        <f>L582</f>
        <v>0</v>
      </c>
      <c r="F597" s="36">
        <f t="shared" si="446"/>
        <v>0</v>
      </c>
      <c r="G597" s="36"/>
      <c r="H597" s="37"/>
      <c r="I597" s="37"/>
      <c r="J597" s="37"/>
      <c r="K597" s="37"/>
      <c r="L597" s="37">
        <f t="shared" ref="L597:M597" si="457">IF(OR(L$574=$B597,L$574=IF($E$598=0,0,1/$E$598+$B597)),$E597*$E$598*50%,IF(L$574&lt;IF($E$598=0,0,1/$E$598+$B597),$E597*$E$598,0))</f>
        <v>0</v>
      </c>
      <c r="M597" s="37">
        <f t="shared" si="457"/>
        <v>0</v>
      </c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3.5" customHeight="1" x14ac:dyDescent="0.3">
      <c r="A598" s="167" t="s">
        <v>432</v>
      </c>
      <c r="B598" s="167"/>
      <c r="C598" s="167"/>
      <c r="D598" s="167" t="s">
        <v>93</v>
      </c>
      <c r="E598" s="186">
        <f>1/3</f>
        <v>0.33333333333333331</v>
      </c>
      <c r="F598" s="36">
        <f t="shared" si="446"/>
        <v>0</v>
      </c>
      <c r="G598" s="36"/>
      <c r="H598" s="36">
        <f t="shared" ref="H598:M598" si="458">SUM(H593:H597)</f>
        <v>0</v>
      </c>
      <c r="I598" s="36">
        <f t="shared" si="458"/>
        <v>0</v>
      </c>
      <c r="J598" s="36">
        <f t="shared" si="458"/>
        <v>0</v>
      </c>
      <c r="K598" s="36">
        <f t="shared" si="458"/>
        <v>0</v>
      </c>
      <c r="L598" s="36">
        <f t="shared" si="458"/>
        <v>0</v>
      </c>
      <c r="M598" s="36">
        <f t="shared" si="458"/>
        <v>0</v>
      </c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3.5" customHeight="1" x14ac:dyDescent="0.3">
      <c r="A599" s="170" t="s">
        <v>433</v>
      </c>
      <c r="B599" s="187"/>
      <c r="C599" s="187"/>
      <c r="D599" s="170" t="s">
        <v>93</v>
      </c>
      <c r="E599" s="188"/>
      <c r="F599" s="157">
        <f t="shared" si="446"/>
        <v>0</v>
      </c>
      <c r="G599" s="157"/>
      <c r="H599" s="157">
        <f t="shared" ref="H599:M599" si="459">H592+H598</f>
        <v>0</v>
      </c>
      <c r="I599" s="157">
        <f t="shared" si="459"/>
        <v>0</v>
      </c>
      <c r="J599" s="157">
        <f t="shared" si="459"/>
        <v>0</v>
      </c>
      <c r="K599" s="157">
        <f t="shared" si="459"/>
        <v>0</v>
      </c>
      <c r="L599" s="157">
        <f t="shared" si="459"/>
        <v>0</v>
      </c>
      <c r="M599" s="157">
        <f t="shared" si="459"/>
        <v>0</v>
      </c>
      <c r="N599" s="188"/>
      <c r="O599" s="188"/>
      <c r="P599" s="188"/>
      <c r="Q599" s="188"/>
      <c r="R599" s="188"/>
      <c r="S599" s="188"/>
      <c r="T599" s="188"/>
      <c r="U599" s="188"/>
      <c r="V599" s="188"/>
      <c r="W599" s="188"/>
      <c r="X599" s="188"/>
      <c r="Y599" s="188"/>
      <c r="Z599" s="188"/>
    </row>
    <row r="600" spans="1:26" ht="13.5" customHeight="1" x14ac:dyDescent="0.3">
      <c r="A600" s="35" t="s">
        <v>434</v>
      </c>
      <c r="B600" s="35"/>
      <c r="C600" s="35"/>
      <c r="D600" s="35" t="s">
        <v>93</v>
      </c>
      <c r="E600" s="37"/>
      <c r="F600" s="36"/>
      <c r="G600" s="36"/>
      <c r="H600" s="37">
        <f>H592</f>
        <v>0</v>
      </c>
      <c r="I600" s="37">
        <f t="shared" ref="I600:M600" si="460">H600+I592</f>
        <v>0</v>
      </c>
      <c r="J600" s="37">
        <f t="shared" si="460"/>
        <v>0</v>
      </c>
      <c r="K600" s="37">
        <f t="shared" si="460"/>
        <v>0</v>
      </c>
      <c r="L600" s="37">
        <f t="shared" si="460"/>
        <v>0</v>
      </c>
      <c r="M600" s="37">
        <f t="shared" si="460"/>
        <v>0</v>
      </c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3.5" customHeight="1" x14ac:dyDescent="0.3">
      <c r="A601" s="35" t="s">
        <v>435</v>
      </c>
      <c r="B601" s="35"/>
      <c r="C601" s="35"/>
      <c r="D601" s="35" t="s">
        <v>93</v>
      </c>
      <c r="E601" s="37"/>
      <c r="F601" s="36"/>
      <c r="G601" s="36"/>
      <c r="H601" s="37">
        <f>H598</f>
        <v>0</v>
      </c>
      <c r="I601" s="37">
        <f t="shared" ref="I601:M601" si="461">H601+I598</f>
        <v>0</v>
      </c>
      <c r="J601" s="37">
        <f t="shared" si="461"/>
        <v>0</v>
      </c>
      <c r="K601" s="37">
        <f t="shared" si="461"/>
        <v>0</v>
      </c>
      <c r="L601" s="37">
        <f t="shared" si="461"/>
        <v>0</v>
      </c>
      <c r="M601" s="37">
        <f t="shared" si="461"/>
        <v>0</v>
      </c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3.5" customHeight="1" x14ac:dyDescent="0.3">
      <c r="A602" s="167" t="s">
        <v>417</v>
      </c>
      <c r="B602" s="35"/>
      <c r="C602" s="35"/>
      <c r="D602" s="167" t="s">
        <v>93</v>
      </c>
      <c r="E602" s="37"/>
      <c r="F602" s="36"/>
      <c r="G602" s="36"/>
      <c r="H602" s="36">
        <f t="shared" ref="H602:M602" si="462">SUM(H600:H601)</f>
        <v>0</v>
      </c>
      <c r="I602" s="36">
        <f t="shared" si="462"/>
        <v>0</v>
      </c>
      <c r="J602" s="36">
        <f t="shared" si="462"/>
        <v>0</v>
      </c>
      <c r="K602" s="36">
        <f t="shared" si="462"/>
        <v>0</v>
      </c>
      <c r="L602" s="36">
        <f t="shared" si="462"/>
        <v>0</v>
      </c>
      <c r="M602" s="36">
        <f t="shared" si="462"/>
        <v>0</v>
      </c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3.5" customHeight="1" x14ac:dyDescent="0.3">
      <c r="A603" s="35" t="s">
        <v>436</v>
      </c>
      <c r="B603" s="35"/>
      <c r="C603" s="35"/>
      <c r="D603" s="35" t="s">
        <v>93</v>
      </c>
      <c r="E603" s="37"/>
      <c r="F603" s="36"/>
      <c r="G603" s="36"/>
      <c r="H603" s="37">
        <f t="shared" ref="H603:M603" si="463">H584-H600</f>
        <v>0</v>
      </c>
      <c r="I603" s="37">
        <f t="shared" si="463"/>
        <v>0</v>
      </c>
      <c r="J603" s="37">
        <f t="shared" si="463"/>
        <v>0</v>
      </c>
      <c r="K603" s="37">
        <f t="shared" si="463"/>
        <v>0</v>
      </c>
      <c r="L603" s="37">
        <f t="shared" si="463"/>
        <v>0</v>
      </c>
      <c r="M603" s="37">
        <f t="shared" si="463"/>
        <v>0</v>
      </c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3.5" customHeight="1" x14ac:dyDescent="0.3">
      <c r="A604" s="35" t="s">
        <v>437</v>
      </c>
      <c r="B604" s="35"/>
      <c r="C604" s="35"/>
      <c r="D604" s="35" t="s">
        <v>93</v>
      </c>
      <c r="E604" s="37"/>
      <c r="F604" s="36"/>
      <c r="G604" s="36"/>
      <c r="H604" s="37">
        <f t="shared" ref="H604:M604" si="464">H585-H601</f>
        <v>0</v>
      </c>
      <c r="I604" s="37">
        <f t="shared" si="464"/>
        <v>0</v>
      </c>
      <c r="J604" s="37">
        <f t="shared" si="464"/>
        <v>0</v>
      </c>
      <c r="K604" s="37">
        <f t="shared" si="464"/>
        <v>0</v>
      </c>
      <c r="L604" s="37">
        <f t="shared" si="464"/>
        <v>0</v>
      </c>
      <c r="M604" s="37">
        <f t="shared" si="464"/>
        <v>0</v>
      </c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3.5" customHeight="1" x14ac:dyDescent="0.3">
      <c r="A605" s="170" t="s">
        <v>418</v>
      </c>
      <c r="B605" s="187"/>
      <c r="C605" s="187"/>
      <c r="D605" s="170" t="s">
        <v>93</v>
      </c>
      <c r="E605" s="188"/>
      <c r="F605" s="157"/>
      <c r="G605" s="157"/>
      <c r="H605" s="157">
        <f t="shared" ref="H605:M605" si="465">SUM(H603:H604)</f>
        <v>0</v>
      </c>
      <c r="I605" s="157">
        <f t="shared" si="465"/>
        <v>0</v>
      </c>
      <c r="J605" s="157">
        <f t="shared" si="465"/>
        <v>0</v>
      </c>
      <c r="K605" s="157">
        <f t="shared" si="465"/>
        <v>0</v>
      </c>
      <c r="L605" s="157">
        <f t="shared" si="465"/>
        <v>0</v>
      </c>
      <c r="M605" s="157">
        <f t="shared" si="465"/>
        <v>0</v>
      </c>
      <c r="N605" s="188"/>
      <c r="O605" s="188"/>
      <c r="P605" s="188"/>
      <c r="Q605" s="188"/>
      <c r="R605" s="188"/>
      <c r="S605" s="188"/>
      <c r="T605" s="188"/>
      <c r="U605" s="188"/>
      <c r="V605" s="188"/>
      <c r="W605" s="188"/>
      <c r="X605" s="188"/>
      <c r="Y605" s="188"/>
      <c r="Z605" s="188"/>
    </row>
    <row r="606" spans="1:26" ht="13.5" customHeight="1" x14ac:dyDescent="0.3">
      <c r="A606" s="170"/>
      <c r="B606" s="187"/>
      <c r="C606" s="187"/>
      <c r="D606" s="170"/>
      <c r="E606" s="188"/>
      <c r="F606" s="157"/>
      <c r="G606" s="157"/>
      <c r="H606" s="157"/>
      <c r="I606" s="157"/>
      <c r="J606" s="157"/>
      <c r="K606" s="157"/>
      <c r="L606" s="157"/>
      <c r="M606" s="157"/>
      <c r="N606" s="188"/>
      <c r="O606" s="188"/>
      <c r="P606" s="188"/>
      <c r="Q606" s="188"/>
      <c r="R606" s="188"/>
      <c r="S606" s="188"/>
      <c r="T606" s="188"/>
      <c r="U606" s="188"/>
      <c r="V606" s="188"/>
      <c r="W606" s="188"/>
      <c r="X606" s="188"/>
      <c r="Y606" s="188"/>
      <c r="Z606" s="188"/>
    </row>
    <row r="607" spans="1:26" ht="13.5" customHeight="1" x14ac:dyDescent="0.3">
      <c r="A607" s="35"/>
      <c r="B607" s="35"/>
      <c r="C607" s="35"/>
      <c r="D607" s="35"/>
      <c r="E607" s="37"/>
      <c r="F607" s="37" t="s">
        <v>166</v>
      </c>
      <c r="G607" s="37"/>
      <c r="H607" s="37" t="s">
        <v>81</v>
      </c>
      <c r="I607" s="37" t="s">
        <v>82</v>
      </c>
      <c r="J607" s="37" t="s">
        <v>83</v>
      </c>
      <c r="K607" s="37" t="s">
        <v>84</v>
      </c>
      <c r="L607" s="37" t="s">
        <v>85</v>
      </c>
      <c r="M607" s="37" t="s">
        <v>86</v>
      </c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3.5" customHeight="1" x14ac:dyDescent="0.3">
      <c r="A608" s="40" t="s">
        <v>438</v>
      </c>
      <c r="B608" s="68"/>
      <c r="C608" s="68"/>
      <c r="D608" s="40" t="str">
        <f>D$58</f>
        <v>Misura</v>
      </c>
      <c r="E608" s="39"/>
      <c r="F608" s="57">
        <f>H608-1</f>
        <v>2021</v>
      </c>
      <c r="G608" s="57"/>
      <c r="H608" s="57">
        <f t="shared" ref="H608:M608" si="466">H$58</f>
        <v>2022</v>
      </c>
      <c r="I608" s="57">
        <f t="shared" si="466"/>
        <v>2023</v>
      </c>
      <c r="J608" s="57">
        <f t="shared" si="466"/>
        <v>2024</v>
      </c>
      <c r="K608" s="57">
        <f t="shared" si="466"/>
        <v>2025</v>
      </c>
      <c r="L608" s="57">
        <f t="shared" si="466"/>
        <v>2026</v>
      </c>
      <c r="M608" s="57">
        <f t="shared" si="466"/>
        <v>2027</v>
      </c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3.5" customHeight="1" x14ac:dyDescent="0.3">
      <c r="A609" s="35" t="s">
        <v>439</v>
      </c>
      <c r="B609" s="167"/>
      <c r="C609" s="167"/>
      <c r="D609" s="35" t="s">
        <v>93</v>
      </c>
      <c r="E609" s="36"/>
      <c r="F609" s="154">
        <v>0</v>
      </c>
      <c r="G609" s="154"/>
      <c r="H609" s="37">
        <f t="shared" ref="H609:H610" si="467">F609*75%</f>
        <v>0</v>
      </c>
      <c r="I609" s="37">
        <f t="shared" ref="I609:I610" si="468">F609*50%</f>
        <v>0</v>
      </c>
      <c r="J609" s="37">
        <f t="shared" ref="J609:J610" si="469">F609*25%</f>
        <v>0</v>
      </c>
      <c r="K609" s="154">
        <v>0</v>
      </c>
      <c r="L609" s="154">
        <v>0</v>
      </c>
      <c r="M609" s="154">
        <v>0</v>
      </c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3.5" customHeight="1" x14ac:dyDescent="0.3">
      <c r="A610" s="35" t="s">
        <v>440</v>
      </c>
      <c r="B610" s="167"/>
      <c r="C610" s="167"/>
      <c r="D610" s="35" t="s">
        <v>93</v>
      </c>
      <c r="E610" s="36"/>
      <c r="F610" s="154">
        <v>0</v>
      </c>
      <c r="G610" s="154"/>
      <c r="H610" s="37">
        <f t="shared" si="467"/>
        <v>0</v>
      </c>
      <c r="I610" s="37">
        <f t="shared" si="468"/>
        <v>0</v>
      </c>
      <c r="J610" s="37">
        <f t="shared" si="469"/>
        <v>0</v>
      </c>
      <c r="K610" s="154">
        <v>0</v>
      </c>
      <c r="L610" s="154">
        <v>0</v>
      </c>
      <c r="M610" s="154">
        <v>0</v>
      </c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3.5" customHeight="1" x14ac:dyDescent="0.3">
      <c r="A611" s="170" t="s">
        <v>441</v>
      </c>
      <c r="B611" s="170"/>
      <c r="C611" s="170"/>
      <c r="D611" s="170" t="s">
        <v>93</v>
      </c>
      <c r="E611" s="157"/>
      <c r="F611" s="157">
        <f>SUM(F609:F610)</f>
        <v>0</v>
      </c>
      <c r="G611" s="157"/>
      <c r="H611" s="157">
        <f t="shared" ref="H611:M611" si="470">SUM(H609:H610)</f>
        <v>0</v>
      </c>
      <c r="I611" s="157">
        <f t="shared" si="470"/>
        <v>0</v>
      </c>
      <c r="J611" s="157">
        <f t="shared" si="470"/>
        <v>0</v>
      </c>
      <c r="K611" s="157">
        <f t="shared" si="470"/>
        <v>0</v>
      </c>
      <c r="L611" s="157">
        <f t="shared" si="470"/>
        <v>0</v>
      </c>
      <c r="M611" s="157">
        <f t="shared" si="470"/>
        <v>0</v>
      </c>
      <c r="N611" s="157"/>
      <c r="O611" s="157"/>
      <c r="P611" s="157"/>
      <c r="Q611" s="157"/>
      <c r="R611" s="157"/>
      <c r="S611" s="157"/>
      <c r="T611" s="157"/>
      <c r="U611" s="157"/>
      <c r="V611" s="157"/>
      <c r="W611" s="157"/>
      <c r="X611" s="157"/>
      <c r="Y611" s="157"/>
      <c r="Z611" s="157"/>
    </row>
    <row r="612" spans="1:26" ht="13.5" customHeight="1" x14ac:dyDescent="0.3">
      <c r="A612" s="35" t="s">
        <v>442</v>
      </c>
      <c r="B612" s="35"/>
      <c r="C612" s="35"/>
      <c r="D612" s="35"/>
      <c r="E612" s="37"/>
      <c r="F612" s="154"/>
      <c r="G612" s="154"/>
      <c r="H612" s="37">
        <f>H611-F611</f>
        <v>0</v>
      </c>
      <c r="I612" s="37">
        <f t="shared" ref="I612:M612" si="471">I611-H611</f>
        <v>0</v>
      </c>
      <c r="J612" s="37">
        <f t="shared" si="471"/>
        <v>0</v>
      </c>
      <c r="K612" s="37">
        <f t="shared" si="471"/>
        <v>0</v>
      </c>
      <c r="L612" s="37">
        <f t="shared" si="471"/>
        <v>0</v>
      </c>
      <c r="M612" s="37">
        <f t="shared" si="471"/>
        <v>0</v>
      </c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3.5" customHeight="1" x14ac:dyDescent="0.3">
      <c r="A613" s="170" t="s">
        <v>443</v>
      </c>
      <c r="B613" s="170"/>
      <c r="C613" s="170"/>
      <c r="D613" s="170" t="s">
        <v>93</v>
      </c>
      <c r="E613" s="157"/>
      <c r="F613" s="189"/>
      <c r="G613" s="189"/>
      <c r="H613" s="157">
        <f t="shared" ref="H613:M613" si="472">-H612</f>
        <v>0</v>
      </c>
      <c r="I613" s="157">
        <f t="shared" si="472"/>
        <v>0</v>
      </c>
      <c r="J613" s="157">
        <f t="shared" si="472"/>
        <v>0</v>
      </c>
      <c r="K613" s="157">
        <f t="shared" si="472"/>
        <v>0</v>
      </c>
      <c r="L613" s="157">
        <f t="shared" si="472"/>
        <v>0</v>
      </c>
      <c r="M613" s="157">
        <f t="shared" si="472"/>
        <v>0</v>
      </c>
      <c r="N613" s="157"/>
      <c r="O613" s="157"/>
      <c r="P613" s="157"/>
      <c r="Q613" s="157"/>
      <c r="R613" s="157"/>
      <c r="S613" s="157"/>
      <c r="T613" s="157"/>
      <c r="U613" s="157"/>
      <c r="V613" s="157"/>
      <c r="W613" s="157"/>
      <c r="X613" s="157"/>
      <c r="Y613" s="157"/>
      <c r="Z613" s="157"/>
    </row>
    <row r="614" spans="1:26" ht="13.5" customHeight="1" x14ac:dyDescent="0.3">
      <c r="A614" s="35"/>
      <c r="B614" s="35"/>
      <c r="C614" s="35"/>
      <c r="D614" s="35"/>
      <c r="E614" s="37"/>
      <c r="F614" s="154"/>
      <c r="G614" s="154"/>
      <c r="H614" s="154"/>
      <c r="I614" s="154"/>
      <c r="J614" s="154"/>
      <c r="K614" s="154"/>
      <c r="L614" s="154"/>
      <c r="M614" s="154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3.5" customHeight="1" x14ac:dyDescent="0.3">
      <c r="A615" s="94"/>
      <c r="B615" s="94"/>
      <c r="C615" s="94"/>
      <c r="D615" s="94"/>
      <c r="E615" s="95"/>
      <c r="F615" s="96"/>
      <c r="G615" s="96"/>
      <c r="H615" s="95"/>
      <c r="I615" s="95"/>
      <c r="J615" s="95"/>
      <c r="K615" s="95"/>
      <c r="L615" s="95"/>
      <c r="M615" s="95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3.5" customHeight="1" x14ac:dyDescent="0.3">
      <c r="A616" s="35"/>
      <c r="B616" s="35"/>
      <c r="C616" s="35"/>
      <c r="D616" s="35"/>
      <c r="E616" s="37"/>
      <c r="F616" s="36"/>
      <c r="G616" s="36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3.5" customHeight="1" outlineLevel="1" x14ac:dyDescent="0.3">
      <c r="A617" s="64" t="s">
        <v>444</v>
      </c>
      <c r="B617" s="65"/>
      <c r="C617" s="65"/>
      <c r="D617" s="65"/>
      <c r="E617" s="66"/>
      <c r="F617" s="67"/>
      <c r="G617" s="67"/>
      <c r="H617" s="66"/>
      <c r="I617" s="66"/>
      <c r="J617" s="66"/>
      <c r="K617" s="66"/>
      <c r="L617" s="66"/>
      <c r="M617" s="66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3.5" customHeight="1" outlineLevel="1" x14ac:dyDescent="0.3">
      <c r="A618" s="167"/>
      <c r="B618" s="35"/>
      <c r="C618" s="35"/>
      <c r="D618" s="35"/>
      <c r="E618" s="37"/>
      <c r="F618" s="36"/>
      <c r="G618" s="36"/>
      <c r="H618" s="37">
        <v>1</v>
      </c>
      <c r="I618" s="37">
        <v>2</v>
      </c>
      <c r="J618" s="37">
        <v>3</v>
      </c>
      <c r="K618" s="37">
        <v>4</v>
      </c>
      <c r="L618" s="37">
        <v>5</v>
      </c>
      <c r="M618" s="37">
        <v>5</v>
      </c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3.5" customHeight="1" outlineLevel="1" x14ac:dyDescent="0.3">
      <c r="A619" s="152"/>
      <c r="B619" s="152"/>
      <c r="C619" s="152"/>
      <c r="D619" s="35"/>
      <c r="E619" s="36"/>
      <c r="F619" s="36" t="s">
        <v>163</v>
      </c>
      <c r="G619" s="36"/>
      <c r="H619" s="37" t="s">
        <v>81</v>
      </c>
      <c r="I619" s="37" t="s">
        <v>82</v>
      </c>
      <c r="J619" s="37" t="s">
        <v>83</v>
      </c>
      <c r="K619" s="37" t="s">
        <v>84</v>
      </c>
      <c r="L619" s="37" t="s">
        <v>85</v>
      </c>
      <c r="M619" s="37" t="s">
        <v>86</v>
      </c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  <c r="Z619" s="153"/>
    </row>
    <row r="620" spans="1:26" ht="13.5" customHeight="1" outlineLevel="1" x14ac:dyDescent="0.3">
      <c r="A620" s="40" t="s">
        <v>445</v>
      </c>
      <c r="B620" s="68"/>
      <c r="C620" s="68"/>
      <c r="D620" s="40" t="str">
        <f>D$58</f>
        <v>Misura</v>
      </c>
      <c r="E620" s="39" t="s">
        <v>115</v>
      </c>
      <c r="F620" s="39" t="s">
        <v>142</v>
      </c>
      <c r="G620" s="39"/>
      <c r="H620" s="57">
        <f t="shared" ref="H620:M620" si="473">H$58</f>
        <v>2022</v>
      </c>
      <c r="I620" s="57">
        <f t="shared" si="473"/>
        <v>2023</v>
      </c>
      <c r="J620" s="57">
        <f t="shared" si="473"/>
        <v>2024</v>
      </c>
      <c r="K620" s="57">
        <f t="shared" si="473"/>
        <v>2025</v>
      </c>
      <c r="L620" s="57">
        <f t="shared" si="473"/>
        <v>2026</v>
      </c>
      <c r="M620" s="57">
        <f t="shared" si="473"/>
        <v>2027</v>
      </c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3.5" customHeight="1" outlineLevel="1" x14ac:dyDescent="0.3">
      <c r="A621" s="170" t="s">
        <v>446</v>
      </c>
      <c r="B621" s="170"/>
      <c r="C621" s="170"/>
      <c r="D621" s="170" t="s">
        <v>93</v>
      </c>
      <c r="E621" s="184"/>
      <c r="F621" s="157">
        <f>SUM(H621:L621)</f>
        <v>19163.326506020043</v>
      </c>
      <c r="G621" s="157"/>
      <c r="H621" s="157">
        <f t="shared" ref="H621:M621" si="474">H537</f>
        <v>2060.3185393777644</v>
      </c>
      <c r="I621" s="157">
        <f t="shared" si="474"/>
        <v>2653.0614550887576</v>
      </c>
      <c r="J621" s="157">
        <f t="shared" si="474"/>
        <v>2595.8405051602067</v>
      </c>
      <c r="K621" s="157">
        <f t="shared" si="474"/>
        <v>4121.3424746200262</v>
      </c>
      <c r="L621" s="157">
        <f t="shared" si="474"/>
        <v>7732.7635317732866</v>
      </c>
      <c r="M621" s="157">
        <f t="shared" si="474"/>
        <v>1396.4670954764651</v>
      </c>
      <c r="N621" s="157"/>
      <c r="O621" s="157"/>
      <c r="P621" s="157"/>
      <c r="Q621" s="157"/>
      <c r="R621" s="157"/>
      <c r="S621" s="157"/>
      <c r="T621" s="157"/>
      <c r="U621" s="157"/>
      <c r="V621" s="157"/>
      <c r="W621" s="157"/>
      <c r="X621" s="157"/>
      <c r="Y621" s="157"/>
      <c r="Z621" s="157"/>
    </row>
    <row r="622" spans="1:26" ht="13.5" customHeight="1" outlineLevel="1" x14ac:dyDescent="0.3">
      <c r="A622" s="190" t="s">
        <v>447</v>
      </c>
      <c r="B622" s="190"/>
      <c r="C622" s="190"/>
      <c r="D622" s="190" t="s">
        <v>108</v>
      </c>
      <c r="E622" s="80">
        <f>F623/F621</f>
        <v>0.39999999999999997</v>
      </c>
      <c r="F622" s="107"/>
      <c r="G622" s="107"/>
      <c r="H622" s="50">
        <v>0.4</v>
      </c>
      <c r="I622" s="50">
        <v>0.4</v>
      </c>
      <c r="J622" s="50">
        <v>0.4</v>
      </c>
      <c r="K622" s="50">
        <v>0.4</v>
      </c>
      <c r="L622" s="50">
        <v>0.4</v>
      </c>
      <c r="M622" s="50">
        <v>0.4</v>
      </c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13.5" customHeight="1" outlineLevel="1" x14ac:dyDescent="0.3">
      <c r="A623" s="191" t="s">
        <v>448</v>
      </c>
      <c r="B623" s="191"/>
      <c r="C623" s="191"/>
      <c r="D623" s="191" t="s">
        <v>93</v>
      </c>
      <c r="E623" s="192"/>
      <c r="F623" s="36">
        <f>SUM(H623:L623)</f>
        <v>7665.3306024080166</v>
      </c>
      <c r="G623" s="36"/>
      <c r="H623" s="36">
        <f t="shared" ref="H623:M623" si="475">H621*H622</f>
        <v>824.12741575110579</v>
      </c>
      <c r="I623" s="36">
        <f t="shared" si="475"/>
        <v>1061.2245820355031</v>
      </c>
      <c r="J623" s="36">
        <f t="shared" si="475"/>
        <v>1038.3362020640827</v>
      </c>
      <c r="K623" s="36">
        <f t="shared" si="475"/>
        <v>1648.5369898480105</v>
      </c>
      <c r="L623" s="36">
        <f t="shared" si="475"/>
        <v>3093.1054127093148</v>
      </c>
      <c r="M623" s="36">
        <f t="shared" si="475"/>
        <v>558.58683819058604</v>
      </c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3.5" customHeight="1" outlineLevel="1" x14ac:dyDescent="0.3">
      <c r="A624" s="190" t="s">
        <v>449</v>
      </c>
      <c r="B624" s="190"/>
      <c r="C624" s="190"/>
      <c r="D624" s="190" t="s">
        <v>108</v>
      </c>
      <c r="E624" s="80">
        <f>1-E622</f>
        <v>0.60000000000000009</v>
      </c>
      <c r="F624" s="107"/>
      <c r="G624" s="107"/>
      <c r="H624" s="80">
        <f t="shared" ref="H624:M624" si="476">1-H622</f>
        <v>0.6</v>
      </c>
      <c r="I624" s="80">
        <f t="shared" si="476"/>
        <v>0.6</v>
      </c>
      <c r="J624" s="80">
        <f t="shared" si="476"/>
        <v>0.6</v>
      </c>
      <c r="K624" s="80">
        <f t="shared" si="476"/>
        <v>0.6</v>
      </c>
      <c r="L624" s="80">
        <f t="shared" si="476"/>
        <v>0.6</v>
      </c>
      <c r="M624" s="80">
        <f t="shared" si="476"/>
        <v>0.6</v>
      </c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13.5" customHeight="1" outlineLevel="1" x14ac:dyDescent="0.3">
      <c r="A625" s="167" t="s">
        <v>450</v>
      </c>
      <c r="B625" s="167"/>
      <c r="C625" s="167"/>
      <c r="D625" s="167" t="s">
        <v>93</v>
      </c>
      <c r="E625" s="192"/>
      <c r="F625" s="36">
        <f t="shared" ref="F625:F628" si="477">SUM(H625:L625)</f>
        <v>11497.995903612024</v>
      </c>
      <c r="G625" s="36"/>
      <c r="H625" s="36">
        <f t="shared" ref="H625:M625" si="478">H621*H624</f>
        <v>1236.1911236266585</v>
      </c>
      <c r="I625" s="36">
        <f t="shared" si="478"/>
        <v>1591.8368730532545</v>
      </c>
      <c r="J625" s="36">
        <f t="shared" si="478"/>
        <v>1557.504303096124</v>
      </c>
      <c r="K625" s="36">
        <f t="shared" si="478"/>
        <v>2472.8054847720155</v>
      </c>
      <c r="L625" s="36">
        <f t="shared" si="478"/>
        <v>4639.6581190639718</v>
      </c>
      <c r="M625" s="36">
        <f t="shared" si="478"/>
        <v>837.88025728587911</v>
      </c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3.5" customHeight="1" outlineLevel="1" x14ac:dyDescent="0.3">
      <c r="A626" s="35" t="s">
        <v>451</v>
      </c>
      <c r="B626" s="35"/>
      <c r="C626" s="137" t="s">
        <v>411</v>
      </c>
      <c r="D626" s="35" t="s">
        <v>93</v>
      </c>
      <c r="E626" s="50">
        <v>0.22</v>
      </c>
      <c r="F626" s="36">
        <f t="shared" si="477"/>
        <v>0</v>
      </c>
      <c r="G626" s="36"/>
      <c r="H626" s="37">
        <f t="shared" ref="H626:M626" si="479">IF($C626="YES",H621*$E626,0)</f>
        <v>0</v>
      </c>
      <c r="I626" s="37">
        <f t="shared" si="479"/>
        <v>0</v>
      </c>
      <c r="J626" s="37">
        <f t="shared" si="479"/>
        <v>0</v>
      </c>
      <c r="K626" s="37">
        <f t="shared" si="479"/>
        <v>0</v>
      </c>
      <c r="L626" s="37">
        <f t="shared" si="479"/>
        <v>0</v>
      </c>
      <c r="M626" s="37">
        <f t="shared" si="479"/>
        <v>0</v>
      </c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3.5" customHeight="1" outlineLevel="1" x14ac:dyDescent="0.3">
      <c r="A627" s="35" t="s">
        <v>452</v>
      </c>
      <c r="B627" s="35"/>
      <c r="C627" s="137" t="s">
        <v>411</v>
      </c>
      <c r="D627" s="35" t="s">
        <v>93</v>
      </c>
      <c r="E627" s="3"/>
      <c r="F627" s="36">
        <f t="shared" si="477"/>
        <v>0</v>
      </c>
      <c r="G627" s="36"/>
      <c r="H627" s="37">
        <f t="shared" ref="H627:M627" si="480">IF($C627="YES",H546,0)</f>
        <v>0</v>
      </c>
      <c r="I627" s="37">
        <f t="shared" si="480"/>
        <v>0</v>
      </c>
      <c r="J627" s="37">
        <f t="shared" si="480"/>
        <v>0</v>
      </c>
      <c r="K627" s="37">
        <f t="shared" si="480"/>
        <v>0</v>
      </c>
      <c r="L627" s="37">
        <f t="shared" si="480"/>
        <v>0</v>
      </c>
      <c r="M627" s="37">
        <f t="shared" si="480"/>
        <v>0</v>
      </c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3.5" customHeight="1" outlineLevel="1" x14ac:dyDescent="0.3">
      <c r="A628" s="167" t="s">
        <v>453</v>
      </c>
      <c r="B628" s="167"/>
      <c r="C628" s="167"/>
      <c r="D628" s="167" t="s">
        <v>93</v>
      </c>
      <c r="E628" s="107">
        <f>F628/(F621+F626)</f>
        <v>0.59999999999999987</v>
      </c>
      <c r="F628" s="36">
        <f t="shared" si="477"/>
        <v>11497.995903612024</v>
      </c>
      <c r="G628" s="36"/>
      <c r="H628" s="36">
        <f t="shared" ref="H628:M628" si="481">H625+H626+H627</f>
        <v>1236.1911236266585</v>
      </c>
      <c r="I628" s="36">
        <f t="shared" si="481"/>
        <v>1591.8368730532545</v>
      </c>
      <c r="J628" s="36">
        <f t="shared" si="481"/>
        <v>1557.504303096124</v>
      </c>
      <c r="K628" s="36">
        <f t="shared" si="481"/>
        <v>2472.8054847720155</v>
      </c>
      <c r="L628" s="36">
        <f t="shared" si="481"/>
        <v>4639.6581190639718</v>
      </c>
      <c r="M628" s="36">
        <f t="shared" si="481"/>
        <v>837.88025728587911</v>
      </c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3.5" customHeight="1" outlineLevel="1" x14ac:dyDescent="0.3">
      <c r="A629" s="167"/>
      <c r="B629" s="167"/>
      <c r="C629" s="167"/>
      <c r="D629" s="167"/>
      <c r="E629" s="107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3.5" customHeight="1" outlineLevel="1" x14ac:dyDescent="0.3">
      <c r="A630" s="35" t="s">
        <v>454</v>
      </c>
      <c r="B630" s="35"/>
      <c r="C630" s="35"/>
      <c r="D630" s="35" t="s">
        <v>93</v>
      </c>
      <c r="E630" s="80"/>
      <c r="F630" s="36">
        <f t="shared" ref="F630:F633" si="482">SUM(H630:L630)</f>
        <v>11497.995903612024</v>
      </c>
      <c r="G630" s="36"/>
      <c r="H630" s="37">
        <f t="shared" ref="H630:M630" si="483">H625</f>
        <v>1236.1911236266585</v>
      </c>
      <c r="I630" s="37">
        <f t="shared" si="483"/>
        <v>1591.8368730532545</v>
      </c>
      <c r="J630" s="37">
        <f t="shared" si="483"/>
        <v>1557.504303096124</v>
      </c>
      <c r="K630" s="37">
        <f t="shared" si="483"/>
        <v>2472.8054847720155</v>
      </c>
      <c r="L630" s="37">
        <f t="shared" si="483"/>
        <v>4639.6581190639718</v>
      </c>
      <c r="M630" s="37">
        <f t="shared" si="483"/>
        <v>837.88025728587911</v>
      </c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3.5" customHeight="1" outlineLevel="1" x14ac:dyDescent="0.3">
      <c r="A631" s="35" t="s">
        <v>455</v>
      </c>
      <c r="B631" s="35"/>
      <c r="C631" s="35"/>
      <c r="D631" s="35" t="s">
        <v>93</v>
      </c>
      <c r="E631" s="80"/>
      <c r="F631" s="36">
        <f t="shared" si="482"/>
        <v>0</v>
      </c>
      <c r="G631" s="36"/>
      <c r="H631" s="37">
        <f t="shared" ref="H631:M631" si="484">H626</f>
        <v>0</v>
      </c>
      <c r="I631" s="37">
        <f t="shared" si="484"/>
        <v>0</v>
      </c>
      <c r="J631" s="37">
        <f t="shared" si="484"/>
        <v>0</v>
      </c>
      <c r="K631" s="37">
        <f t="shared" si="484"/>
        <v>0</v>
      </c>
      <c r="L631" s="37">
        <f t="shared" si="484"/>
        <v>0</v>
      </c>
      <c r="M631" s="37">
        <f t="shared" si="484"/>
        <v>0</v>
      </c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3.5" customHeight="1" outlineLevel="1" x14ac:dyDescent="0.3">
      <c r="A632" s="35" t="s">
        <v>456</v>
      </c>
      <c r="B632" s="35"/>
      <c r="C632" s="35"/>
      <c r="D632" s="35" t="s">
        <v>93</v>
      </c>
      <c r="E632" s="50"/>
      <c r="F632" s="36">
        <f t="shared" si="482"/>
        <v>0</v>
      </c>
      <c r="G632" s="36"/>
      <c r="H632" s="37">
        <f t="shared" ref="H632:M632" si="485">H627</f>
        <v>0</v>
      </c>
      <c r="I632" s="37">
        <f t="shared" si="485"/>
        <v>0</v>
      </c>
      <c r="J632" s="37">
        <f t="shared" si="485"/>
        <v>0</v>
      </c>
      <c r="K632" s="37">
        <f t="shared" si="485"/>
        <v>0</v>
      </c>
      <c r="L632" s="37">
        <f t="shared" si="485"/>
        <v>0</v>
      </c>
      <c r="M632" s="37">
        <f t="shared" si="485"/>
        <v>0</v>
      </c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3.5" customHeight="1" outlineLevel="1" x14ac:dyDescent="0.3">
      <c r="A633" s="167" t="s">
        <v>457</v>
      </c>
      <c r="B633" s="167"/>
      <c r="C633" s="167"/>
      <c r="D633" s="167" t="s">
        <v>93</v>
      </c>
      <c r="E633" s="107"/>
      <c r="F633" s="36">
        <f t="shared" si="482"/>
        <v>11497.995903612024</v>
      </c>
      <c r="G633" s="36"/>
      <c r="H633" s="36">
        <f t="shared" ref="H633:M633" si="486">SUM(H630:H632)</f>
        <v>1236.1911236266585</v>
      </c>
      <c r="I633" s="36">
        <f t="shared" si="486"/>
        <v>1591.8368730532545</v>
      </c>
      <c r="J633" s="36">
        <f t="shared" si="486"/>
        <v>1557.504303096124</v>
      </c>
      <c r="K633" s="36">
        <f t="shared" si="486"/>
        <v>2472.8054847720155</v>
      </c>
      <c r="L633" s="36">
        <f t="shared" si="486"/>
        <v>4639.6581190639718</v>
      </c>
      <c r="M633" s="36">
        <f t="shared" si="486"/>
        <v>837.88025728587911</v>
      </c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3.5" customHeight="1" outlineLevel="1" x14ac:dyDescent="0.3">
      <c r="A634" s="167"/>
      <c r="B634" s="167"/>
      <c r="C634" s="167"/>
      <c r="D634" s="167"/>
      <c r="E634" s="107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3.5" customHeight="1" outlineLevel="1" x14ac:dyDescent="0.3">
      <c r="A635" s="190" t="s">
        <v>458</v>
      </c>
      <c r="B635" s="190"/>
      <c r="C635" s="190"/>
      <c r="D635" s="190" t="s">
        <v>108</v>
      </c>
      <c r="E635" s="50">
        <v>0.01</v>
      </c>
      <c r="F635" s="107"/>
      <c r="G635" s="107"/>
      <c r="H635" s="80">
        <f t="shared" ref="H635:H636" si="487">E635</f>
        <v>0.01</v>
      </c>
      <c r="I635" s="80">
        <f t="shared" ref="I635:M635" si="488">H635</f>
        <v>0.01</v>
      </c>
      <c r="J635" s="80">
        <f t="shared" si="488"/>
        <v>0.01</v>
      </c>
      <c r="K635" s="80">
        <f t="shared" si="488"/>
        <v>0.01</v>
      </c>
      <c r="L635" s="80">
        <f t="shared" si="488"/>
        <v>0.01</v>
      </c>
      <c r="M635" s="80">
        <f t="shared" si="488"/>
        <v>0.01</v>
      </c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13.5" customHeight="1" outlineLevel="1" x14ac:dyDescent="0.3">
      <c r="A636" s="190" t="s">
        <v>459</v>
      </c>
      <c r="B636" s="190"/>
      <c r="C636" s="190"/>
      <c r="D636" s="190" t="s">
        <v>108</v>
      </c>
      <c r="E636" s="50">
        <v>0.01</v>
      </c>
      <c r="F636" s="107"/>
      <c r="G636" s="107"/>
      <c r="H636" s="80">
        <f t="shared" si="487"/>
        <v>0.01</v>
      </c>
      <c r="I636" s="80">
        <f t="shared" ref="I636:M636" si="489">H636</f>
        <v>0.01</v>
      </c>
      <c r="J636" s="80">
        <f t="shared" si="489"/>
        <v>0.01</v>
      </c>
      <c r="K636" s="80">
        <f t="shared" si="489"/>
        <v>0.01</v>
      </c>
      <c r="L636" s="80">
        <f t="shared" si="489"/>
        <v>0.01</v>
      </c>
      <c r="M636" s="80">
        <f t="shared" si="489"/>
        <v>0.01</v>
      </c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13.5" customHeight="1" outlineLevel="1" x14ac:dyDescent="0.3">
      <c r="A637" s="191" t="s">
        <v>460</v>
      </c>
      <c r="B637" s="191"/>
      <c r="C637" s="191"/>
      <c r="D637" s="191" t="s">
        <v>108</v>
      </c>
      <c r="E637" s="107">
        <f>SUM(E635:E636)</f>
        <v>0.02</v>
      </c>
      <c r="F637" s="107"/>
      <c r="G637" s="107"/>
      <c r="H637" s="107">
        <f t="shared" ref="H637:M637" si="490">SUM(H635:H636)</f>
        <v>0.02</v>
      </c>
      <c r="I637" s="107">
        <f t="shared" si="490"/>
        <v>0.02</v>
      </c>
      <c r="J637" s="107">
        <f t="shared" si="490"/>
        <v>0.02</v>
      </c>
      <c r="K637" s="107">
        <f t="shared" si="490"/>
        <v>0.02</v>
      </c>
      <c r="L637" s="107">
        <f t="shared" si="490"/>
        <v>0.02</v>
      </c>
      <c r="M637" s="107">
        <f t="shared" si="490"/>
        <v>0.02</v>
      </c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3.5" customHeight="1" outlineLevel="1" x14ac:dyDescent="0.3">
      <c r="A638" s="167"/>
      <c r="B638" s="167"/>
      <c r="C638" s="167"/>
      <c r="D638" s="167"/>
      <c r="E638" s="107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3.5" customHeight="1" outlineLevel="1" x14ac:dyDescent="0.3">
      <c r="A639" s="35" t="s">
        <v>461</v>
      </c>
      <c r="B639" s="35">
        <v>1</v>
      </c>
      <c r="C639" s="35"/>
      <c r="D639" s="35" t="s">
        <v>93</v>
      </c>
      <c r="E639" s="37">
        <f>H633</f>
        <v>1236.1911236266585</v>
      </c>
      <c r="F639" s="36">
        <f t="shared" ref="F639:F644" si="491">SUM(H639:L639)</f>
        <v>264.7689155669521</v>
      </c>
      <c r="G639" s="36"/>
      <c r="H639" s="37">
        <f t="shared" ref="H639:M639" si="492">IF((H$618-$B639+1)&lt;=$E$644,-PPMT(H$637,(H$618-$B639+1),$E$644,$E639),0)</f>
        <v>50.877569624088395</v>
      </c>
      <c r="I639" s="37">
        <f t="shared" si="492"/>
        <v>51.895121016570158</v>
      </c>
      <c r="J639" s="37">
        <f t="shared" si="492"/>
        <v>52.933023436901557</v>
      </c>
      <c r="K639" s="37">
        <f t="shared" si="492"/>
        <v>53.991683905639597</v>
      </c>
      <c r="L639" s="37">
        <f t="shared" si="492"/>
        <v>55.071517583752396</v>
      </c>
      <c r="M639" s="37">
        <f t="shared" si="492"/>
        <v>55.071517583752396</v>
      </c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3.5" customHeight="1" outlineLevel="1" x14ac:dyDescent="0.3">
      <c r="A640" s="35" t="s">
        <v>462</v>
      </c>
      <c r="B640" s="35">
        <v>2</v>
      </c>
      <c r="C640" s="35"/>
      <c r="D640" s="35" t="s">
        <v>93</v>
      </c>
      <c r="E640" s="37">
        <f>I633</f>
        <v>1591.8368730532545</v>
      </c>
      <c r="F640" s="36">
        <f t="shared" si="491"/>
        <v>270.02624748969839</v>
      </c>
      <c r="G640" s="36"/>
      <c r="H640" s="37"/>
      <c r="I640" s="37">
        <f t="shared" ref="I640:M640" si="493">IF((I$618-$B640+1)&lt;=$E$644,-PPMT(I$637,(I$618-$B640+1),$E$644,$E640),0)</f>
        <v>65.51478148569646</v>
      </c>
      <c r="J640" s="37">
        <f t="shared" si="493"/>
        <v>66.82507711541038</v>
      </c>
      <c r="K640" s="37">
        <f t="shared" si="493"/>
        <v>68.161578657718593</v>
      </c>
      <c r="L640" s="37">
        <f t="shared" si="493"/>
        <v>69.524810230872973</v>
      </c>
      <c r="M640" s="37">
        <f t="shared" si="493"/>
        <v>69.524810230872973</v>
      </c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3.5" customHeight="1" outlineLevel="1" x14ac:dyDescent="0.3">
      <c r="A641" s="35" t="s">
        <v>463</v>
      </c>
      <c r="B641" s="35">
        <v>3</v>
      </c>
      <c r="C641" s="35"/>
      <c r="D641" s="35" t="s">
        <v>93</v>
      </c>
      <c r="E641" s="37">
        <f>J633</f>
        <v>1557.504303096124</v>
      </c>
      <c r="F641" s="36">
        <f t="shared" si="491"/>
        <v>196.17704338548185</v>
      </c>
      <c r="G641" s="36"/>
      <c r="H641" s="37"/>
      <c r="I641" s="37"/>
      <c r="J641" s="37">
        <f t="shared" ref="J641:M641" si="494">IF((J$618-$B641+1)&lt;=$E$644,-PPMT(J$637,(J$618-$B641+1),$E$644,$E641),0)</f>
        <v>64.101765581454018</v>
      </c>
      <c r="K641" s="37">
        <f t="shared" si="494"/>
        <v>65.383800893083105</v>
      </c>
      <c r="L641" s="37">
        <f t="shared" si="494"/>
        <v>66.691476910944758</v>
      </c>
      <c r="M641" s="37">
        <f t="shared" si="494"/>
        <v>66.691476910944758</v>
      </c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3.5" customHeight="1" outlineLevel="1" x14ac:dyDescent="0.3">
      <c r="A642" s="35" t="s">
        <v>464</v>
      </c>
      <c r="B642" s="35">
        <v>4</v>
      </c>
      <c r="C642" s="35"/>
      <c r="D642" s="35" t="s">
        <v>93</v>
      </c>
      <c r="E642" s="37">
        <f>K633</f>
        <v>2472.8054847720155</v>
      </c>
      <c r="F642" s="36">
        <f t="shared" si="491"/>
        <v>205.58056779717646</v>
      </c>
      <c r="G642" s="36"/>
      <c r="H642" s="37"/>
      <c r="I642" s="37"/>
      <c r="J642" s="37"/>
      <c r="K642" s="37">
        <f t="shared" ref="K642:M642" si="495">IF((K$618-$B642+1)&lt;=$E$644,-PPMT(K$637,(K$618-$B642+1),$E$644,$E642),0)</f>
        <v>101.7725583154339</v>
      </c>
      <c r="L642" s="37">
        <f t="shared" si="495"/>
        <v>103.80800948174257</v>
      </c>
      <c r="M642" s="37">
        <f t="shared" si="495"/>
        <v>103.80800948174257</v>
      </c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3.5" customHeight="1" outlineLevel="1" x14ac:dyDescent="0.3">
      <c r="A643" s="35" t="s">
        <v>465</v>
      </c>
      <c r="B643" s="35">
        <v>5</v>
      </c>
      <c r="C643" s="35"/>
      <c r="D643" s="35" t="s">
        <v>93</v>
      </c>
      <c r="E643" s="37">
        <f>L633</f>
        <v>4639.6581190639718</v>
      </c>
      <c r="F643" s="36">
        <f t="shared" si="491"/>
        <v>190.95310140403089</v>
      </c>
      <c r="G643" s="36"/>
      <c r="H643" s="37"/>
      <c r="I643" s="37"/>
      <c r="J643" s="37"/>
      <c r="K643" s="37"/>
      <c r="L643" s="37">
        <f t="shared" ref="L643:M643" si="496">IF((L$618-$B643+1)&lt;=$E$644,-PPMT(L$637,(L$618-$B643+1),$E$644,$E643),0)</f>
        <v>190.95310140403089</v>
      </c>
      <c r="M643" s="37">
        <f t="shared" si="496"/>
        <v>190.95310140403089</v>
      </c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3.5" customHeight="1" outlineLevel="1" x14ac:dyDescent="0.3">
      <c r="A644" s="167" t="s">
        <v>466</v>
      </c>
      <c r="B644" s="167"/>
      <c r="C644" s="167"/>
      <c r="D644" s="167" t="s">
        <v>93</v>
      </c>
      <c r="E644" s="168">
        <v>20</v>
      </c>
      <c r="F644" s="36">
        <f t="shared" si="491"/>
        <v>1127.5058756433398</v>
      </c>
      <c r="G644" s="36"/>
      <c r="H644" s="36">
        <f t="shared" ref="H644:M644" si="497">SUM(H639:H643)</f>
        <v>50.877569624088395</v>
      </c>
      <c r="I644" s="36">
        <f t="shared" si="497"/>
        <v>117.40990250226662</v>
      </c>
      <c r="J644" s="36">
        <f t="shared" si="497"/>
        <v>183.85986613376593</v>
      </c>
      <c r="K644" s="36">
        <f t="shared" si="497"/>
        <v>289.30962177187519</v>
      </c>
      <c r="L644" s="36">
        <f t="shared" si="497"/>
        <v>486.04891561134366</v>
      </c>
      <c r="M644" s="36">
        <f t="shared" si="497"/>
        <v>486.04891561134366</v>
      </c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3.5" customHeight="1" outlineLevel="1" x14ac:dyDescent="0.3">
      <c r="A645" s="167"/>
      <c r="B645" s="167"/>
      <c r="C645" s="167"/>
      <c r="D645" s="167"/>
      <c r="E645" s="168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3.5" customHeight="1" outlineLevel="1" x14ac:dyDescent="0.3">
      <c r="A646" s="167" t="s">
        <v>467</v>
      </c>
      <c r="B646" s="167"/>
      <c r="C646" s="167"/>
      <c r="D646" s="167" t="s">
        <v>93</v>
      </c>
      <c r="E646" s="36"/>
      <c r="F646" s="36"/>
      <c r="G646" s="36"/>
      <c r="H646" s="36">
        <f t="shared" ref="H646:M646" si="498">SUM($H633:H633)-SUM($H644:H644)</f>
        <v>1185.3135540025701</v>
      </c>
      <c r="I646" s="36">
        <f t="shared" si="498"/>
        <v>2659.7405245535579</v>
      </c>
      <c r="J646" s="36">
        <f t="shared" si="498"/>
        <v>4033.3849615159161</v>
      </c>
      <c r="K646" s="36">
        <f t="shared" si="498"/>
        <v>6216.8808245160553</v>
      </c>
      <c r="L646" s="36">
        <f t="shared" si="498"/>
        <v>10370.490027968684</v>
      </c>
      <c r="M646" s="36">
        <f t="shared" si="498"/>
        <v>10722.321369643218</v>
      </c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3.5" customHeight="1" outlineLevel="1" x14ac:dyDescent="0.3">
      <c r="A647" s="167"/>
      <c r="B647" s="167"/>
      <c r="C647" s="167"/>
      <c r="D647" s="167"/>
      <c r="E647" s="107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3.5" customHeight="1" outlineLevel="1" x14ac:dyDescent="0.3">
      <c r="A648" s="35" t="s">
        <v>468</v>
      </c>
      <c r="B648" s="35">
        <v>1</v>
      </c>
      <c r="C648" s="35"/>
      <c r="D648" s="35" t="s">
        <v>93</v>
      </c>
      <c r="E648" s="37">
        <f t="shared" ref="E648:E652" si="499">E639</f>
        <v>1236.1911236266585</v>
      </c>
      <c r="F648" s="37">
        <f t="shared" ref="F648:F653" si="500">SUM(H648:L648)</f>
        <v>113.23804491615573</v>
      </c>
      <c r="G648" s="37"/>
      <c r="H648" s="37">
        <f t="shared" ref="H648:M648" si="501">IF((H$618-$B648+1)&lt;=$E$644,-IPMT(H$637,(H$618-$B648+1),$E$644,$E648),0)</f>
        <v>24.723822472533172</v>
      </c>
      <c r="I648" s="37">
        <f t="shared" si="501"/>
        <v>23.706271080051401</v>
      </c>
      <c r="J648" s="37">
        <f t="shared" si="501"/>
        <v>22.668368659719999</v>
      </c>
      <c r="K648" s="37">
        <f t="shared" si="501"/>
        <v>21.609708190981969</v>
      </c>
      <c r="L648" s="37">
        <f t="shared" si="501"/>
        <v>20.529874512869181</v>
      </c>
      <c r="M648" s="37">
        <f t="shared" si="501"/>
        <v>20.529874512869181</v>
      </c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3.5" customHeight="1" outlineLevel="1" x14ac:dyDescent="0.3">
      <c r="A649" s="35" t="s">
        <v>469</v>
      </c>
      <c r="B649" s="35">
        <v>2</v>
      </c>
      <c r="C649" s="35"/>
      <c r="D649" s="35" t="s">
        <v>93</v>
      </c>
      <c r="E649" s="37">
        <f t="shared" si="499"/>
        <v>1591.8368730532545</v>
      </c>
      <c r="F649" s="37">
        <f t="shared" si="500"/>
        <v>119.3798282973478</v>
      </c>
      <c r="G649" s="37"/>
      <c r="H649" s="37"/>
      <c r="I649" s="37">
        <f t="shared" ref="I649:M649" si="502">IF((I$618-$B649+1)&lt;=$E$644,-IPMT(I$637,(I$618-$B649+1),$E$644,$E649),0)</f>
        <v>31.836737461065091</v>
      </c>
      <c r="J649" s="37">
        <f t="shared" si="502"/>
        <v>30.526441831351164</v>
      </c>
      <c r="K649" s="37">
        <f t="shared" si="502"/>
        <v>29.189940289042958</v>
      </c>
      <c r="L649" s="37">
        <f t="shared" si="502"/>
        <v>27.826708715888586</v>
      </c>
      <c r="M649" s="37">
        <f t="shared" si="502"/>
        <v>27.826708715888586</v>
      </c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3.5" customHeight="1" outlineLevel="1" x14ac:dyDescent="0.3">
      <c r="A650" s="35" t="s">
        <v>470</v>
      </c>
      <c r="B650" s="35">
        <v>3</v>
      </c>
      <c r="C650" s="35"/>
      <c r="D650" s="35" t="s">
        <v>93</v>
      </c>
      <c r="E650" s="37">
        <f t="shared" si="499"/>
        <v>1557.504303096124</v>
      </c>
      <c r="F650" s="37">
        <f t="shared" si="500"/>
        <v>89.578511544647611</v>
      </c>
      <c r="G650" s="37"/>
      <c r="H650" s="37"/>
      <c r="I650" s="37"/>
      <c r="J650" s="37">
        <f t="shared" ref="J650:M650" si="503">IF((J$618-$B650+1)&lt;=$E$644,-IPMT(J$637,(J$618-$B650+1),$E$644,$E650),0)</f>
        <v>31.15008606192248</v>
      </c>
      <c r="K650" s="37">
        <f t="shared" si="503"/>
        <v>29.868050750293396</v>
      </c>
      <c r="L650" s="37">
        <f t="shared" si="503"/>
        <v>28.56037473243174</v>
      </c>
      <c r="M650" s="37">
        <f t="shared" si="503"/>
        <v>28.56037473243174</v>
      </c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3.5" customHeight="1" outlineLevel="1" x14ac:dyDescent="0.3">
      <c r="A651" s="35" t="s">
        <v>471</v>
      </c>
      <c r="B651" s="35">
        <v>4</v>
      </c>
      <c r="C651" s="35"/>
      <c r="D651" s="35" t="s">
        <v>93</v>
      </c>
      <c r="E651" s="37">
        <f t="shared" si="499"/>
        <v>2472.8054847720155</v>
      </c>
      <c r="F651" s="37">
        <f t="shared" si="500"/>
        <v>96.876768224571933</v>
      </c>
      <c r="G651" s="37"/>
      <c r="H651" s="37"/>
      <c r="I651" s="37"/>
      <c r="J651" s="37"/>
      <c r="K651" s="37">
        <f t="shared" ref="K651:M651" si="504">IF((K$618-$B651+1)&lt;=$E$644,-IPMT(K$637,(K$618-$B651+1),$E$644,$E651),0)</f>
        <v>49.456109695440311</v>
      </c>
      <c r="L651" s="37">
        <f t="shared" si="504"/>
        <v>47.420658529131622</v>
      </c>
      <c r="M651" s="37">
        <f t="shared" si="504"/>
        <v>47.420658529131622</v>
      </c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3.5" customHeight="1" outlineLevel="1" x14ac:dyDescent="0.3">
      <c r="A652" s="35" t="s">
        <v>472</v>
      </c>
      <c r="B652" s="35">
        <v>5</v>
      </c>
      <c r="C652" s="35"/>
      <c r="D652" s="35" t="s">
        <v>93</v>
      </c>
      <c r="E652" s="37">
        <f t="shared" si="499"/>
        <v>4639.6581190639718</v>
      </c>
      <c r="F652" s="37">
        <f t="shared" si="500"/>
        <v>92.79316238127943</v>
      </c>
      <c r="G652" s="37"/>
      <c r="H652" s="37"/>
      <c r="I652" s="37"/>
      <c r="J652" s="37"/>
      <c r="K652" s="37"/>
      <c r="L652" s="37">
        <f t="shared" ref="L652:M652" si="505">IF((L$618-$B652+1)&lt;=$E$644,-IPMT(L$637,(L$618-$B652+1),$E$644,$E652),0)</f>
        <v>92.79316238127943</v>
      </c>
      <c r="M652" s="37">
        <f t="shared" si="505"/>
        <v>92.79316238127943</v>
      </c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3.5" customHeight="1" outlineLevel="1" x14ac:dyDescent="0.3">
      <c r="A653" s="167" t="s">
        <v>473</v>
      </c>
      <c r="B653" s="167"/>
      <c r="C653" s="167"/>
      <c r="D653" s="167" t="s">
        <v>93</v>
      </c>
      <c r="E653" s="168"/>
      <c r="F653" s="36">
        <f t="shared" si="500"/>
        <v>511.8663153640025</v>
      </c>
      <c r="G653" s="36"/>
      <c r="H653" s="36">
        <f t="shared" ref="H653:M653" si="506">SUM(H648:H652)</f>
        <v>24.723822472533172</v>
      </c>
      <c r="I653" s="36">
        <f t="shared" si="506"/>
        <v>55.543008541116492</v>
      </c>
      <c r="J653" s="36">
        <f t="shared" si="506"/>
        <v>84.344896552993646</v>
      </c>
      <c r="K653" s="36">
        <f t="shared" si="506"/>
        <v>130.12380892575862</v>
      </c>
      <c r="L653" s="36">
        <f t="shared" si="506"/>
        <v>217.13077887160057</v>
      </c>
      <c r="M653" s="36">
        <f t="shared" si="506"/>
        <v>217.13077887160057</v>
      </c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3.5" customHeight="1" outlineLevel="1" x14ac:dyDescent="0.3">
      <c r="A654" s="167"/>
      <c r="B654" s="167"/>
      <c r="C654" s="167"/>
      <c r="D654" s="167"/>
      <c r="E654" s="168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3.5" customHeight="1" outlineLevel="1" x14ac:dyDescent="0.3">
      <c r="A655" s="170" t="s">
        <v>474</v>
      </c>
      <c r="B655" s="170"/>
      <c r="C655" s="170"/>
      <c r="D655" s="170" t="s">
        <v>93</v>
      </c>
      <c r="E655" s="157"/>
      <c r="F655" s="157">
        <f>SUM(H655:L655)</f>
        <v>1639.3721910073423</v>
      </c>
      <c r="G655" s="157"/>
      <c r="H655" s="157">
        <f t="shared" ref="H655:M655" si="507">H644+H653</f>
        <v>75.601392096621566</v>
      </c>
      <c r="I655" s="157">
        <f t="shared" si="507"/>
        <v>172.9529110433831</v>
      </c>
      <c r="J655" s="157">
        <f t="shared" si="507"/>
        <v>268.20476268675958</v>
      </c>
      <c r="K655" s="157">
        <f t="shared" si="507"/>
        <v>419.43343069763381</v>
      </c>
      <c r="L655" s="157">
        <f t="shared" si="507"/>
        <v>703.17969448294423</v>
      </c>
      <c r="M655" s="157">
        <f t="shared" si="507"/>
        <v>703.17969448294423</v>
      </c>
      <c r="N655" s="157"/>
      <c r="O655" s="157"/>
      <c r="P655" s="157"/>
      <c r="Q655" s="157"/>
      <c r="R655" s="157"/>
      <c r="S655" s="157"/>
      <c r="T655" s="157"/>
      <c r="U655" s="157"/>
      <c r="V655" s="157"/>
      <c r="W655" s="157"/>
      <c r="X655" s="157"/>
      <c r="Y655" s="157"/>
      <c r="Z655" s="157"/>
    </row>
    <row r="656" spans="1:26" ht="13.5" customHeight="1" outlineLevel="1" x14ac:dyDescent="0.3">
      <c r="A656" s="167"/>
      <c r="B656" s="167"/>
      <c r="C656" s="167"/>
      <c r="D656" s="167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3.5" customHeight="1" outlineLevel="1" x14ac:dyDescent="0.3">
      <c r="A657" s="152"/>
      <c r="B657" s="152"/>
      <c r="C657" s="152"/>
      <c r="D657" s="35"/>
      <c r="E657" s="36"/>
      <c r="F657" s="36" t="s">
        <v>163</v>
      </c>
      <c r="G657" s="36"/>
      <c r="H657" s="37" t="s">
        <v>81</v>
      </c>
      <c r="I657" s="37" t="s">
        <v>82</v>
      </c>
      <c r="J657" s="37" t="s">
        <v>83</v>
      </c>
      <c r="K657" s="37" t="s">
        <v>84</v>
      </c>
      <c r="L657" s="37" t="s">
        <v>85</v>
      </c>
      <c r="M657" s="37" t="s">
        <v>86</v>
      </c>
      <c r="N657" s="153"/>
      <c r="O657" s="153"/>
      <c r="P657" s="153"/>
      <c r="Q657" s="153"/>
      <c r="R657" s="153"/>
      <c r="S657" s="153"/>
      <c r="T657" s="153"/>
      <c r="U657" s="153"/>
      <c r="V657" s="153"/>
      <c r="W657" s="153"/>
      <c r="X657" s="153"/>
      <c r="Y657" s="153"/>
      <c r="Z657" s="153"/>
    </row>
    <row r="658" spans="1:26" ht="13.5" customHeight="1" outlineLevel="1" x14ac:dyDescent="0.3">
      <c r="A658" s="40" t="s">
        <v>475</v>
      </c>
      <c r="B658" s="68"/>
      <c r="C658" s="68"/>
      <c r="D658" s="40" t="str">
        <f>D$58</f>
        <v>Misura</v>
      </c>
      <c r="E658" s="39" t="s">
        <v>115</v>
      </c>
      <c r="F658" s="39" t="s">
        <v>142</v>
      </c>
      <c r="G658" s="39"/>
      <c r="H658" s="57">
        <f t="shared" ref="H658:M658" si="508">H$58</f>
        <v>2022</v>
      </c>
      <c r="I658" s="57">
        <f t="shared" si="508"/>
        <v>2023</v>
      </c>
      <c r="J658" s="57">
        <f t="shared" si="508"/>
        <v>2024</v>
      </c>
      <c r="K658" s="57">
        <f t="shared" si="508"/>
        <v>2025</v>
      </c>
      <c r="L658" s="57">
        <f t="shared" si="508"/>
        <v>2026</v>
      </c>
      <c r="M658" s="57">
        <f t="shared" si="508"/>
        <v>2027</v>
      </c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3.5" customHeight="1" outlineLevel="1" x14ac:dyDescent="0.3">
      <c r="A659" s="35" t="s">
        <v>476</v>
      </c>
      <c r="B659" s="35"/>
      <c r="C659" s="35"/>
      <c r="D659" s="190" t="s">
        <v>93</v>
      </c>
      <c r="E659" s="154"/>
      <c r="F659" s="36">
        <f t="shared" ref="F659:F660" si="509">SUM(H659:L659)</f>
        <v>0</v>
      </c>
      <c r="G659" s="36"/>
      <c r="H659" s="154">
        <v>0</v>
      </c>
      <c r="I659" s="154">
        <v>0</v>
      </c>
      <c r="J659" s="154">
        <v>0</v>
      </c>
      <c r="K659" s="154">
        <v>0</v>
      </c>
      <c r="L659" s="154">
        <v>0</v>
      </c>
      <c r="M659" s="154">
        <v>0</v>
      </c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3.5" customHeight="1" outlineLevel="1" x14ac:dyDescent="0.3">
      <c r="A660" s="167" t="s">
        <v>457</v>
      </c>
      <c r="B660" s="167"/>
      <c r="C660" s="167"/>
      <c r="D660" s="191" t="s">
        <v>93</v>
      </c>
      <c r="E660" s="168"/>
      <c r="F660" s="36">
        <f t="shared" si="509"/>
        <v>0</v>
      </c>
      <c r="G660" s="36"/>
      <c r="H660" s="36">
        <f t="shared" ref="H660:M660" si="510">H659</f>
        <v>0</v>
      </c>
      <c r="I660" s="36">
        <f t="shared" si="510"/>
        <v>0</v>
      </c>
      <c r="J660" s="36">
        <f t="shared" si="510"/>
        <v>0</v>
      </c>
      <c r="K660" s="36">
        <f t="shared" si="510"/>
        <v>0</v>
      </c>
      <c r="L660" s="36">
        <f t="shared" si="510"/>
        <v>0</v>
      </c>
      <c r="M660" s="36">
        <f t="shared" si="510"/>
        <v>0</v>
      </c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3.5" customHeight="1" outlineLevel="1" x14ac:dyDescent="0.3">
      <c r="A661" s="35"/>
      <c r="B661" s="35"/>
      <c r="C661" s="35"/>
      <c r="D661" s="190"/>
      <c r="E661" s="3"/>
      <c r="F661" s="36"/>
      <c r="G661" s="36"/>
      <c r="H661" s="154"/>
      <c r="I661" s="154"/>
      <c r="J661" s="154"/>
      <c r="K661" s="154"/>
      <c r="L661" s="154"/>
      <c r="M661" s="154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3.5" customHeight="1" outlineLevel="1" x14ac:dyDescent="0.3">
      <c r="A662" s="190" t="s">
        <v>458</v>
      </c>
      <c r="B662" s="190"/>
      <c r="C662" s="190"/>
      <c r="D662" s="190" t="s">
        <v>108</v>
      </c>
      <c r="E662" s="50">
        <v>0.01</v>
      </c>
      <c r="F662" s="107"/>
      <c r="G662" s="107"/>
      <c r="H662" s="80">
        <f t="shared" ref="H662:H663" si="511">E662</f>
        <v>0.01</v>
      </c>
      <c r="I662" s="80">
        <f t="shared" ref="I662:M662" si="512">H662</f>
        <v>0.01</v>
      </c>
      <c r="J662" s="80">
        <f t="shared" si="512"/>
        <v>0.01</v>
      </c>
      <c r="K662" s="80">
        <f t="shared" si="512"/>
        <v>0.01</v>
      </c>
      <c r="L662" s="80">
        <f t="shared" si="512"/>
        <v>0.01</v>
      </c>
      <c r="M662" s="80">
        <f t="shared" si="512"/>
        <v>0.01</v>
      </c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3.5" customHeight="1" outlineLevel="1" x14ac:dyDescent="0.3">
      <c r="A663" s="190" t="s">
        <v>459</v>
      </c>
      <c r="B663" s="190"/>
      <c r="C663" s="190"/>
      <c r="D663" s="190" t="s">
        <v>108</v>
      </c>
      <c r="E663" s="50">
        <v>0.03</v>
      </c>
      <c r="F663" s="107"/>
      <c r="G663" s="107"/>
      <c r="H663" s="80">
        <f t="shared" si="511"/>
        <v>0.03</v>
      </c>
      <c r="I663" s="80">
        <f t="shared" ref="I663:M663" si="513">H663</f>
        <v>0.03</v>
      </c>
      <c r="J663" s="80">
        <f t="shared" si="513"/>
        <v>0.03</v>
      </c>
      <c r="K663" s="80">
        <f t="shared" si="513"/>
        <v>0.03</v>
      </c>
      <c r="L663" s="80">
        <f t="shared" si="513"/>
        <v>0.03</v>
      </c>
      <c r="M663" s="80">
        <f t="shared" si="513"/>
        <v>0.03</v>
      </c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3.5" customHeight="1" outlineLevel="1" x14ac:dyDescent="0.3">
      <c r="A664" s="191" t="s">
        <v>460</v>
      </c>
      <c r="B664" s="191"/>
      <c r="C664" s="191"/>
      <c r="D664" s="191" t="s">
        <v>108</v>
      </c>
      <c r="E664" s="107">
        <f>SUM(E662:E663)</f>
        <v>0.04</v>
      </c>
      <c r="F664" s="107"/>
      <c r="G664" s="107"/>
      <c r="H664" s="107">
        <f t="shared" ref="H664:M664" si="514">SUM(H662:H663)</f>
        <v>0.04</v>
      </c>
      <c r="I664" s="107">
        <f t="shared" si="514"/>
        <v>0.04</v>
      </c>
      <c r="J664" s="107">
        <f t="shared" si="514"/>
        <v>0.04</v>
      </c>
      <c r="K664" s="107">
        <f t="shared" si="514"/>
        <v>0.04</v>
      </c>
      <c r="L664" s="107">
        <f t="shared" si="514"/>
        <v>0.04</v>
      </c>
      <c r="M664" s="107">
        <f t="shared" si="514"/>
        <v>0.04</v>
      </c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3.5" customHeight="1" outlineLevel="1" x14ac:dyDescent="0.3">
      <c r="A665" s="191"/>
      <c r="B665" s="191"/>
      <c r="C665" s="191"/>
      <c r="D665" s="191"/>
      <c r="E665" s="193"/>
      <c r="F665" s="107"/>
      <c r="G665" s="107"/>
      <c r="H665" s="193"/>
      <c r="I665" s="193"/>
      <c r="J665" s="193"/>
      <c r="K665" s="193"/>
      <c r="L665" s="193"/>
      <c r="M665" s="193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3.5" customHeight="1" outlineLevel="1" x14ac:dyDescent="0.3">
      <c r="A666" s="35" t="s">
        <v>477</v>
      </c>
      <c r="B666" s="194">
        <v>1</v>
      </c>
      <c r="C666" s="35"/>
      <c r="D666" s="35" t="s">
        <v>93</v>
      </c>
      <c r="E666" s="37">
        <f>H660</f>
        <v>0</v>
      </c>
      <c r="F666" s="37">
        <f t="shared" ref="F666:F671" si="515">SUM(H666:L666)</f>
        <v>0</v>
      </c>
      <c r="G666" s="37"/>
      <c r="H666" s="37">
        <f t="shared" ref="H666:M666" si="516">IF((H$618-$B666+1)&lt;=$E$671,-PPMT(H$664,(H$618-$B666+1),$E$671,$E666),0)</f>
        <v>0</v>
      </c>
      <c r="I666" s="37">
        <f t="shared" si="516"/>
        <v>0</v>
      </c>
      <c r="J666" s="37">
        <f t="shared" si="516"/>
        <v>0</v>
      </c>
      <c r="K666" s="37">
        <f t="shared" si="516"/>
        <v>0</v>
      </c>
      <c r="L666" s="37">
        <f t="shared" si="516"/>
        <v>0</v>
      </c>
      <c r="M666" s="37">
        <f t="shared" si="516"/>
        <v>0</v>
      </c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3.5" customHeight="1" outlineLevel="1" x14ac:dyDescent="0.3">
      <c r="A667" s="35" t="s">
        <v>478</v>
      </c>
      <c r="B667" s="194">
        <v>2</v>
      </c>
      <c r="C667" s="35"/>
      <c r="D667" s="35" t="s">
        <v>93</v>
      </c>
      <c r="E667" s="37">
        <f>I660</f>
        <v>0</v>
      </c>
      <c r="F667" s="37">
        <f t="shared" si="515"/>
        <v>0</v>
      </c>
      <c r="G667" s="37"/>
      <c r="H667" s="37"/>
      <c r="I667" s="37">
        <f t="shared" ref="I667:M667" si="517">IF((I$618-$B667+1)&lt;=$E$671,-PPMT(I$664,(I$618-$B667+1),$E$671,$E667),0)</f>
        <v>0</v>
      </c>
      <c r="J667" s="37">
        <f t="shared" si="517"/>
        <v>0</v>
      </c>
      <c r="K667" s="37">
        <f t="shared" si="517"/>
        <v>0</v>
      </c>
      <c r="L667" s="37">
        <f t="shared" si="517"/>
        <v>0</v>
      </c>
      <c r="M667" s="37">
        <f t="shared" si="517"/>
        <v>0</v>
      </c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3.5" customHeight="1" outlineLevel="1" x14ac:dyDescent="0.3">
      <c r="A668" s="35" t="s">
        <v>479</v>
      </c>
      <c r="B668" s="194">
        <v>3</v>
      </c>
      <c r="C668" s="35"/>
      <c r="D668" s="35" t="s">
        <v>93</v>
      </c>
      <c r="E668" s="37">
        <f>J660</f>
        <v>0</v>
      </c>
      <c r="F668" s="37">
        <f t="shared" si="515"/>
        <v>0</v>
      </c>
      <c r="G668" s="37"/>
      <c r="H668" s="37"/>
      <c r="I668" s="37"/>
      <c r="J668" s="37">
        <f t="shared" ref="J668:M668" si="518">IF((J$618-$B668+1)&lt;=$E$671,-PPMT(J$664,(J$618-$B668+1),$E$671,$E668),0)</f>
        <v>0</v>
      </c>
      <c r="K668" s="37">
        <f t="shared" si="518"/>
        <v>0</v>
      </c>
      <c r="L668" s="37">
        <f t="shared" si="518"/>
        <v>0</v>
      </c>
      <c r="M668" s="37">
        <f t="shared" si="518"/>
        <v>0</v>
      </c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3.5" customHeight="1" outlineLevel="1" x14ac:dyDescent="0.3">
      <c r="A669" s="35" t="s">
        <v>480</v>
      </c>
      <c r="B669" s="194">
        <v>4</v>
      </c>
      <c r="C669" s="35"/>
      <c r="D669" s="35" t="s">
        <v>93</v>
      </c>
      <c r="E669" s="37">
        <f>K660</f>
        <v>0</v>
      </c>
      <c r="F669" s="37">
        <f t="shared" si="515"/>
        <v>0</v>
      </c>
      <c r="G669" s="37"/>
      <c r="H669" s="37"/>
      <c r="I669" s="37"/>
      <c r="J669" s="37"/>
      <c r="K669" s="37">
        <f t="shared" ref="K669:M669" si="519">IF((K$618-$B669+1)&lt;=$E$671,-PPMT(K$664,(K$618-$B669+1),$E$671,$E669),0)</f>
        <v>0</v>
      </c>
      <c r="L669" s="37">
        <f t="shared" si="519"/>
        <v>0</v>
      </c>
      <c r="M669" s="37">
        <f t="shared" si="519"/>
        <v>0</v>
      </c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3.5" customHeight="1" outlineLevel="1" x14ac:dyDescent="0.3">
      <c r="A670" s="35" t="s">
        <v>481</v>
      </c>
      <c r="B670" s="194">
        <v>5</v>
      </c>
      <c r="C670" s="35"/>
      <c r="D670" s="35" t="s">
        <v>93</v>
      </c>
      <c r="E670" s="37">
        <f>L660</f>
        <v>0</v>
      </c>
      <c r="F670" s="37">
        <f t="shared" si="515"/>
        <v>0</v>
      </c>
      <c r="G670" s="37"/>
      <c r="H670" s="37"/>
      <c r="I670" s="37"/>
      <c r="J670" s="37"/>
      <c r="K670" s="37"/>
      <c r="L670" s="37">
        <f t="shared" ref="L670:M670" si="520">IF((L$618-$B670+1)&lt;=$E$671,-PPMT(L$664,(L$618-$B670+1),$E$671,$E670),0)</f>
        <v>0</v>
      </c>
      <c r="M670" s="37">
        <f t="shared" si="520"/>
        <v>0</v>
      </c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3.5" customHeight="1" outlineLevel="1" x14ac:dyDescent="0.3">
      <c r="A671" s="167" t="s">
        <v>482</v>
      </c>
      <c r="B671" s="167"/>
      <c r="C671" s="167"/>
      <c r="D671" s="167" t="s">
        <v>93</v>
      </c>
      <c r="E671" s="168">
        <v>10</v>
      </c>
      <c r="F671" s="36">
        <f t="shared" si="515"/>
        <v>0</v>
      </c>
      <c r="G671" s="36"/>
      <c r="H671" s="36">
        <f t="shared" ref="H671:M671" si="521">SUM(H666:H670)</f>
        <v>0</v>
      </c>
      <c r="I671" s="36">
        <f t="shared" si="521"/>
        <v>0</v>
      </c>
      <c r="J671" s="36">
        <f t="shared" si="521"/>
        <v>0</v>
      </c>
      <c r="K671" s="36">
        <f t="shared" si="521"/>
        <v>0</v>
      </c>
      <c r="L671" s="36">
        <f t="shared" si="521"/>
        <v>0</v>
      </c>
      <c r="M671" s="36">
        <f t="shared" si="521"/>
        <v>0</v>
      </c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3.5" customHeight="1" outlineLevel="1" x14ac:dyDescent="0.3">
      <c r="A672" s="191"/>
      <c r="B672" s="191"/>
      <c r="C672" s="191"/>
      <c r="D672" s="191"/>
      <c r="E672" s="193"/>
      <c r="F672" s="107"/>
      <c r="G672" s="107"/>
      <c r="H672" s="193"/>
      <c r="I672" s="193"/>
      <c r="J672" s="193"/>
      <c r="K672" s="193"/>
      <c r="L672" s="193"/>
      <c r="M672" s="193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3.5" customHeight="1" outlineLevel="1" x14ac:dyDescent="0.3">
      <c r="A673" s="167" t="s">
        <v>467</v>
      </c>
      <c r="B673" s="167"/>
      <c r="C673" s="167"/>
      <c r="D673" s="167" t="s">
        <v>93</v>
      </c>
      <c r="E673" s="36"/>
      <c r="F673" s="36"/>
      <c r="G673" s="36"/>
      <c r="H673" s="36">
        <f t="shared" ref="H673:M673" si="522">SUM($H660:H660)-SUM($H671:H671)</f>
        <v>0</v>
      </c>
      <c r="I673" s="36">
        <f t="shared" si="522"/>
        <v>0</v>
      </c>
      <c r="J673" s="36">
        <f t="shared" si="522"/>
        <v>0</v>
      </c>
      <c r="K673" s="36">
        <f t="shared" si="522"/>
        <v>0</v>
      </c>
      <c r="L673" s="36">
        <f t="shared" si="522"/>
        <v>0</v>
      </c>
      <c r="M673" s="36">
        <f t="shared" si="522"/>
        <v>0</v>
      </c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3.5" customHeight="1" outlineLevel="1" x14ac:dyDescent="0.3">
      <c r="A674" s="191"/>
      <c r="B674" s="191"/>
      <c r="C674" s="191"/>
      <c r="D674" s="191"/>
      <c r="E674" s="193"/>
      <c r="F674" s="107"/>
      <c r="G674" s="107"/>
      <c r="H674" s="193"/>
      <c r="I674" s="193"/>
      <c r="J674" s="193"/>
      <c r="K674" s="193"/>
      <c r="L674" s="193"/>
      <c r="M674" s="193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3.5" customHeight="1" outlineLevel="1" x14ac:dyDescent="0.3">
      <c r="A675" s="35" t="s">
        <v>468</v>
      </c>
      <c r="B675" s="194">
        <v>1</v>
      </c>
      <c r="C675" s="35"/>
      <c r="D675" s="35" t="s">
        <v>93</v>
      </c>
      <c r="E675" s="37">
        <f t="shared" ref="E675:E679" si="523">E666</f>
        <v>0</v>
      </c>
      <c r="F675" s="37">
        <f t="shared" ref="F675:F680" si="524">SUM(H675:L675)</f>
        <v>0</v>
      </c>
      <c r="G675" s="37"/>
      <c r="H675" s="37">
        <f t="shared" ref="H675:M675" si="525">IF((H$618-$B675+1)&lt;=$E$671,-IPMT(H$664,(H$618-$B675+1),$E$671,$E675),0)</f>
        <v>0</v>
      </c>
      <c r="I675" s="37">
        <f t="shared" si="525"/>
        <v>0</v>
      </c>
      <c r="J675" s="37">
        <f t="shared" si="525"/>
        <v>0</v>
      </c>
      <c r="K675" s="37">
        <f t="shared" si="525"/>
        <v>0</v>
      </c>
      <c r="L675" s="37">
        <f t="shared" si="525"/>
        <v>0</v>
      </c>
      <c r="M675" s="37">
        <f t="shared" si="525"/>
        <v>0</v>
      </c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3.5" customHeight="1" outlineLevel="1" x14ac:dyDescent="0.3">
      <c r="A676" s="35" t="s">
        <v>469</v>
      </c>
      <c r="B676" s="194">
        <v>2</v>
      </c>
      <c r="C676" s="35"/>
      <c r="D676" s="35" t="s">
        <v>93</v>
      </c>
      <c r="E676" s="37">
        <f t="shared" si="523"/>
        <v>0</v>
      </c>
      <c r="F676" s="37">
        <f t="shared" si="524"/>
        <v>0</v>
      </c>
      <c r="G676" s="37"/>
      <c r="H676" s="37"/>
      <c r="I676" s="37">
        <f t="shared" ref="I676:M676" si="526">IF((I$618-$B676+1)&lt;=$E$671,-IPMT(I$664,(I$618-$B676+1),$E$671,$E676),0)</f>
        <v>0</v>
      </c>
      <c r="J676" s="37">
        <f t="shared" si="526"/>
        <v>0</v>
      </c>
      <c r="K676" s="37">
        <f t="shared" si="526"/>
        <v>0</v>
      </c>
      <c r="L676" s="37">
        <f t="shared" si="526"/>
        <v>0</v>
      </c>
      <c r="M676" s="37">
        <f t="shared" si="526"/>
        <v>0</v>
      </c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3.5" customHeight="1" outlineLevel="1" x14ac:dyDescent="0.3">
      <c r="A677" s="35" t="s">
        <v>470</v>
      </c>
      <c r="B677" s="194">
        <v>3</v>
      </c>
      <c r="C677" s="35"/>
      <c r="D677" s="35" t="s">
        <v>93</v>
      </c>
      <c r="E677" s="37">
        <f t="shared" si="523"/>
        <v>0</v>
      </c>
      <c r="F677" s="37">
        <f t="shared" si="524"/>
        <v>0</v>
      </c>
      <c r="G677" s="37"/>
      <c r="H677" s="37"/>
      <c r="I677" s="37"/>
      <c r="J677" s="37">
        <f t="shared" ref="J677:M677" si="527">IF((J$618-$B677+1)&lt;=$E$671,-IPMT(J$664,(J$618-$B677+1),$E$671,$E677),0)</f>
        <v>0</v>
      </c>
      <c r="K677" s="37">
        <f t="shared" si="527"/>
        <v>0</v>
      </c>
      <c r="L677" s="37">
        <f t="shared" si="527"/>
        <v>0</v>
      </c>
      <c r="M677" s="37">
        <f t="shared" si="527"/>
        <v>0</v>
      </c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3.5" customHeight="1" outlineLevel="1" x14ac:dyDescent="0.3">
      <c r="A678" s="35" t="s">
        <v>471</v>
      </c>
      <c r="B678" s="194">
        <v>4</v>
      </c>
      <c r="C678" s="35"/>
      <c r="D678" s="35" t="s">
        <v>93</v>
      </c>
      <c r="E678" s="37">
        <f t="shared" si="523"/>
        <v>0</v>
      </c>
      <c r="F678" s="37">
        <f t="shared" si="524"/>
        <v>0</v>
      </c>
      <c r="G678" s="37"/>
      <c r="H678" s="37"/>
      <c r="I678" s="37"/>
      <c r="J678" s="37"/>
      <c r="K678" s="37">
        <f t="shared" ref="K678:M678" si="528">IF((K$618-$B678+1)&lt;=$E$671,-IPMT(K$664,(K$618-$B678+1),$E$671,$E678),0)</f>
        <v>0</v>
      </c>
      <c r="L678" s="37">
        <f t="shared" si="528"/>
        <v>0</v>
      </c>
      <c r="M678" s="37">
        <f t="shared" si="528"/>
        <v>0</v>
      </c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3.5" customHeight="1" outlineLevel="1" x14ac:dyDescent="0.3">
      <c r="A679" s="35" t="s">
        <v>472</v>
      </c>
      <c r="B679" s="194">
        <v>5</v>
      </c>
      <c r="C679" s="35"/>
      <c r="D679" s="35" t="s">
        <v>93</v>
      </c>
      <c r="E679" s="37">
        <f t="shared" si="523"/>
        <v>0</v>
      </c>
      <c r="F679" s="37">
        <f t="shared" si="524"/>
        <v>0</v>
      </c>
      <c r="G679" s="37"/>
      <c r="H679" s="37"/>
      <c r="I679" s="37"/>
      <c r="J679" s="37"/>
      <c r="K679" s="37"/>
      <c r="L679" s="37">
        <f t="shared" ref="L679:M679" si="529">IF((L$618-$B679+1)&lt;=$E$671,-IPMT(L$664,(L$618-$B679+1),$E$671,$E679),0)</f>
        <v>0</v>
      </c>
      <c r="M679" s="37">
        <f t="shared" si="529"/>
        <v>0</v>
      </c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3.5" customHeight="1" outlineLevel="1" x14ac:dyDescent="0.3">
      <c r="A680" s="167" t="s">
        <v>483</v>
      </c>
      <c r="B680" s="167"/>
      <c r="C680" s="167"/>
      <c r="D680" s="167" t="s">
        <v>93</v>
      </c>
      <c r="E680" s="168"/>
      <c r="F680" s="36">
        <f t="shared" si="524"/>
        <v>0</v>
      </c>
      <c r="G680" s="36"/>
      <c r="H680" s="36">
        <f t="shared" ref="H680:M680" si="530">SUM(H675:H679)</f>
        <v>0</v>
      </c>
      <c r="I680" s="36">
        <f t="shared" si="530"/>
        <v>0</v>
      </c>
      <c r="J680" s="36">
        <f t="shared" si="530"/>
        <v>0</v>
      </c>
      <c r="K680" s="36">
        <f t="shared" si="530"/>
        <v>0</v>
      </c>
      <c r="L680" s="36">
        <f t="shared" si="530"/>
        <v>0</v>
      </c>
      <c r="M680" s="36">
        <f t="shared" si="530"/>
        <v>0</v>
      </c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3.5" customHeight="1" outlineLevel="1" x14ac:dyDescent="0.3">
      <c r="A681" s="167"/>
      <c r="B681" s="167"/>
      <c r="C681" s="167"/>
      <c r="D681" s="167"/>
      <c r="E681" s="107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3.5" customHeight="1" outlineLevel="1" x14ac:dyDescent="0.3">
      <c r="A682" s="170" t="s">
        <v>474</v>
      </c>
      <c r="B682" s="170"/>
      <c r="C682" s="170"/>
      <c r="D682" s="170" t="s">
        <v>93</v>
      </c>
      <c r="E682" s="157"/>
      <c r="F682" s="157">
        <f>SUM(H682:L682)</f>
        <v>0</v>
      </c>
      <c r="G682" s="157"/>
      <c r="H682" s="157">
        <f t="shared" ref="H682:M682" si="531">H671+H680</f>
        <v>0</v>
      </c>
      <c r="I682" s="157">
        <f t="shared" si="531"/>
        <v>0</v>
      </c>
      <c r="J682" s="157">
        <f t="shared" si="531"/>
        <v>0</v>
      </c>
      <c r="K682" s="157">
        <f t="shared" si="531"/>
        <v>0</v>
      </c>
      <c r="L682" s="157">
        <f t="shared" si="531"/>
        <v>0</v>
      </c>
      <c r="M682" s="157">
        <f t="shared" si="531"/>
        <v>0</v>
      </c>
      <c r="N682" s="157"/>
      <c r="O682" s="157"/>
      <c r="P682" s="157"/>
      <c r="Q682" s="157"/>
      <c r="R682" s="157"/>
      <c r="S682" s="157"/>
      <c r="T682" s="157"/>
      <c r="U682" s="157"/>
      <c r="V682" s="157"/>
      <c r="W682" s="157"/>
      <c r="X682" s="157"/>
      <c r="Y682" s="157"/>
      <c r="Z682" s="157"/>
    </row>
    <row r="683" spans="1:26" ht="13.5" customHeight="1" outlineLevel="1" x14ac:dyDescent="0.3">
      <c r="A683" s="170"/>
      <c r="B683" s="170"/>
      <c r="C683" s="170"/>
      <c r="D683" s="170"/>
      <c r="E683" s="157"/>
      <c r="F683" s="157"/>
      <c r="G683" s="157"/>
      <c r="H683" s="157"/>
      <c r="I683" s="157"/>
      <c r="J683" s="157"/>
      <c r="K683" s="157"/>
      <c r="L683" s="157"/>
      <c r="M683" s="157"/>
      <c r="N683" s="157"/>
      <c r="O683" s="157"/>
      <c r="P683" s="157"/>
      <c r="Q683" s="157"/>
      <c r="R683" s="157"/>
      <c r="S683" s="157"/>
      <c r="T683" s="157"/>
      <c r="U683" s="157"/>
      <c r="V683" s="157"/>
      <c r="W683" s="157"/>
      <c r="X683" s="157"/>
      <c r="Y683" s="157"/>
      <c r="Z683" s="157"/>
    </row>
    <row r="684" spans="1:26" ht="13.5" customHeight="1" outlineLevel="1" x14ac:dyDescent="0.3">
      <c r="A684" s="152"/>
      <c r="B684" s="152"/>
      <c r="C684" s="152"/>
      <c r="D684" s="35"/>
      <c r="E684" s="36"/>
      <c r="F684" s="36" t="s">
        <v>163</v>
      </c>
      <c r="G684" s="36"/>
      <c r="H684" s="37" t="s">
        <v>81</v>
      </c>
      <c r="I684" s="37" t="s">
        <v>82</v>
      </c>
      <c r="J684" s="37" t="s">
        <v>83</v>
      </c>
      <c r="K684" s="37" t="s">
        <v>84</v>
      </c>
      <c r="L684" s="37" t="s">
        <v>85</v>
      </c>
      <c r="M684" s="37" t="s">
        <v>86</v>
      </c>
      <c r="N684" s="153"/>
      <c r="O684" s="153"/>
      <c r="P684" s="153"/>
      <c r="Q684" s="153"/>
      <c r="R684" s="153"/>
      <c r="S684" s="153"/>
      <c r="T684" s="153"/>
      <c r="U684" s="153"/>
      <c r="V684" s="153"/>
      <c r="W684" s="153"/>
      <c r="X684" s="153"/>
      <c r="Y684" s="153"/>
      <c r="Z684" s="153"/>
    </row>
    <row r="685" spans="1:26" ht="13.5" customHeight="1" outlineLevel="1" x14ac:dyDescent="0.3">
      <c r="A685" s="40" t="s">
        <v>484</v>
      </c>
      <c r="B685" s="68"/>
      <c r="C685" s="68"/>
      <c r="D685" s="40" t="str">
        <f>D$58</f>
        <v>Misura</v>
      </c>
      <c r="E685" s="39" t="s">
        <v>115</v>
      </c>
      <c r="F685" s="39" t="s">
        <v>142</v>
      </c>
      <c r="G685" s="39"/>
      <c r="H685" s="57">
        <f t="shared" ref="H685:M685" si="532">H$58</f>
        <v>2022</v>
      </c>
      <c r="I685" s="57">
        <f t="shared" si="532"/>
        <v>2023</v>
      </c>
      <c r="J685" s="57">
        <f t="shared" si="532"/>
        <v>2024</v>
      </c>
      <c r="K685" s="57">
        <f t="shared" si="532"/>
        <v>2025</v>
      </c>
      <c r="L685" s="57">
        <f t="shared" si="532"/>
        <v>2026</v>
      </c>
      <c r="M685" s="57">
        <f t="shared" si="532"/>
        <v>2027</v>
      </c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3.5" customHeight="1" outlineLevel="1" x14ac:dyDescent="0.3">
      <c r="A686" s="167" t="s">
        <v>457</v>
      </c>
      <c r="B686" s="167"/>
      <c r="C686" s="167"/>
      <c r="D686" s="167" t="s">
        <v>93</v>
      </c>
      <c r="E686" s="36"/>
      <c r="F686" s="36">
        <f t="shared" ref="F686:F687" si="533">SUM(H686:L686)</f>
        <v>11497.995903612024</v>
      </c>
      <c r="G686" s="36"/>
      <c r="H686" s="36">
        <f t="shared" ref="H686:M686" si="534">H633+H660</f>
        <v>1236.1911236266585</v>
      </c>
      <c r="I686" s="36">
        <f t="shared" si="534"/>
        <v>1591.8368730532545</v>
      </c>
      <c r="J686" s="36">
        <f t="shared" si="534"/>
        <v>1557.504303096124</v>
      </c>
      <c r="K686" s="36">
        <f t="shared" si="534"/>
        <v>2472.8054847720155</v>
      </c>
      <c r="L686" s="36">
        <f t="shared" si="534"/>
        <v>4639.6581190639718</v>
      </c>
      <c r="M686" s="36">
        <f t="shared" si="534"/>
        <v>837.88025728587911</v>
      </c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3.5" customHeight="1" outlineLevel="1" x14ac:dyDescent="0.3">
      <c r="A687" s="167" t="s">
        <v>482</v>
      </c>
      <c r="B687" s="167"/>
      <c r="C687" s="167"/>
      <c r="D687" s="167" t="s">
        <v>93</v>
      </c>
      <c r="E687" s="36"/>
      <c r="F687" s="36">
        <f t="shared" si="533"/>
        <v>1127.5058756433398</v>
      </c>
      <c r="G687" s="36"/>
      <c r="H687" s="36">
        <f t="shared" ref="H687:M687" si="535">H644+H671</f>
        <v>50.877569624088395</v>
      </c>
      <c r="I687" s="36">
        <f t="shared" si="535"/>
        <v>117.40990250226662</v>
      </c>
      <c r="J687" s="36">
        <f t="shared" si="535"/>
        <v>183.85986613376593</v>
      </c>
      <c r="K687" s="36">
        <f t="shared" si="535"/>
        <v>289.30962177187519</v>
      </c>
      <c r="L687" s="36">
        <f t="shared" si="535"/>
        <v>486.04891561134366</v>
      </c>
      <c r="M687" s="36">
        <f t="shared" si="535"/>
        <v>486.04891561134366</v>
      </c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3.5" customHeight="1" outlineLevel="1" x14ac:dyDescent="0.3">
      <c r="A688" s="167" t="s">
        <v>467</v>
      </c>
      <c r="B688" s="167"/>
      <c r="C688" s="167"/>
      <c r="D688" s="167" t="s">
        <v>93</v>
      </c>
      <c r="E688" s="36"/>
      <c r="F688" s="36"/>
      <c r="G688" s="36"/>
      <c r="H688" s="36">
        <f t="shared" ref="H688:M688" si="536">H646+H673</f>
        <v>1185.3135540025701</v>
      </c>
      <c r="I688" s="36">
        <f t="shared" si="536"/>
        <v>2659.7405245535579</v>
      </c>
      <c r="J688" s="36">
        <f t="shared" si="536"/>
        <v>4033.3849615159161</v>
      </c>
      <c r="K688" s="36">
        <f t="shared" si="536"/>
        <v>6216.8808245160553</v>
      </c>
      <c r="L688" s="36">
        <f t="shared" si="536"/>
        <v>10370.490027968684</v>
      </c>
      <c r="M688" s="36">
        <f t="shared" si="536"/>
        <v>10722.321369643218</v>
      </c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3.5" customHeight="1" outlineLevel="1" x14ac:dyDescent="0.3">
      <c r="A689" s="167" t="s">
        <v>483</v>
      </c>
      <c r="B689" s="167"/>
      <c r="C689" s="167"/>
      <c r="D689" s="167" t="s">
        <v>93</v>
      </c>
      <c r="E689" s="168"/>
      <c r="F689" s="36">
        <f t="shared" ref="F689:F690" si="537">SUM(H689:L689)</f>
        <v>511.8663153640025</v>
      </c>
      <c r="G689" s="36"/>
      <c r="H689" s="36">
        <f t="shared" ref="H689:M689" si="538">H653+H680</f>
        <v>24.723822472533172</v>
      </c>
      <c r="I689" s="36">
        <f t="shared" si="538"/>
        <v>55.543008541116492</v>
      </c>
      <c r="J689" s="36">
        <f t="shared" si="538"/>
        <v>84.344896552993646</v>
      </c>
      <c r="K689" s="36">
        <f t="shared" si="538"/>
        <v>130.12380892575862</v>
      </c>
      <c r="L689" s="36">
        <f t="shared" si="538"/>
        <v>217.13077887160057</v>
      </c>
      <c r="M689" s="36">
        <f t="shared" si="538"/>
        <v>217.13077887160057</v>
      </c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3.5" customHeight="1" outlineLevel="1" x14ac:dyDescent="0.3">
      <c r="A690" s="155" t="s">
        <v>474</v>
      </c>
      <c r="B690" s="155"/>
      <c r="C690" s="155"/>
      <c r="D690" s="155" t="s">
        <v>93</v>
      </c>
      <c r="E690" s="156"/>
      <c r="F690" s="156">
        <f t="shared" si="537"/>
        <v>1639.3721910073423</v>
      </c>
      <c r="G690" s="156"/>
      <c r="H690" s="156">
        <f t="shared" ref="H690:M690" si="539">H687+H689</f>
        <v>75.601392096621566</v>
      </c>
      <c r="I690" s="156">
        <f t="shared" si="539"/>
        <v>172.9529110433831</v>
      </c>
      <c r="J690" s="156">
        <f t="shared" si="539"/>
        <v>268.20476268675958</v>
      </c>
      <c r="K690" s="156">
        <f t="shared" si="539"/>
        <v>419.43343069763381</v>
      </c>
      <c r="L690" s="156">
        <f t="shared" si="539"/>
        <v>703.17969448294423</v>
      </c>
      <c r="M690" s="156">
        <f t="shared" si="539"/>
        <v>703.17969448294423</v>
      </c>
      <c r="N690" s="157"/>
      <c r="O690" s="157"/>
      <c r="P690" s="157"/>
      <c r="Q690" s="157"/>
      <c r="R690" s="157"/>
      <c r="S690" s="157"/>
      <c r="T690" s="157"/>
      <c r="U690" s="157"/>
      <c r="V690" s="157"/>
      <c r="W690" s="157"/>
      <c r="X690" s="157"/>
      <c r="Y690" s="157"/>
      <c r="Z690" s="157"/>
    </row>
    <row r="691" spans="1:26" ht="13.5" customHeight="1" outlineLevel="1" x14ac:dyDescent="0.3">
      <c r="A691" s="35"/>
      <c r="B691" s="35"/>
      <c r="C691" s="35"/>
      <c r="D691" s="35"/>
      <c r="E691" s="37"/>
      <c r="F691" s="36"/>
      <c r="G691" s="36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3.5" customHeight="1" outlineLevel="1" x14ac:dyDescent="0.3">
      <c r="A692" s="167"/>
      <c r="B692" s="167"/>
      <c r="C692" s="167"/>
      <c r="D692" s="167"/>
      <c r="E692" s="107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3.5" customHeight="1" outlineLevel="1" x14ac:dyDescent="0.3">
      <c r="A693" s="94"/>
      <c r="B693" s="94"/>
      <c r="C693" s="94"/>
      <c r="D693" s="94"/>
      <c r="E693" s="95"/>
      <c r="F693" s="96"/>
      <c r="G693" s="96"/>
      <c r="H693" s="95"/>
      <c r="I693" s="95"/>
      <c r="J693" s="95"/>
      <c r="K693" s="95"/>
      <c r="L693" s="95"/>
      <c r="M693" s="95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3.5" customHeight="1" outlineLevel="1" x14ac:dyDescent="0.3">
      <c r="A694" s="35"/>
      <c r="B694" s="35"/>
      <c r="C694" s="35"/>
      <c r="D694" s="35"/>
      <c r="E694" s="37"/>
      <c r="F694" s="36"/>
      <c r="G694" s="36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3.5" customHeight="1" outlineLevel="1" x14ac:dyDescent="0.3">
      <c r="A695" s="64" t="s">
        <v>485</v>
      </c>
      <c r="B695" s="65"/>
      <c r="C695" s="65"/>
      <c r="D695" s="65"/>
      <c r="E695" s="66"/>
      <c r="F695" s="67"/>
      <c r="G695" s="67"/>
      <c r="H695" s="66"/>
      <c r="I695" s="66"/>
      <c r="J695" s="66"/>
      <c r="K695" s="66"/>
      <c r="L695" s="66"/>
      <c r="M695" s="66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3.5" customHeight="1" outlineLevel="1" x14ac:dyDescent="0.3">
      <c r="A696" s="152"/>
      <c r="B696" s="152"/>
      <c r="C696" s="152"/>
      <c r="D696" s="35"/>
      <c r="E696" s="36"/>
      <c r="F696" s="36" t="s">
        <v>163</v>
      </c>
      <c r="G696" s="36"/>
      <c r="H696" s="37" t="s">
        <v>81</v>
      </c>
      <c r="I696" s="37" t="s">
        <v>82</v>
      </c>
      <c r="J696" s="37" t="s">
        <v>83</v>
      </c>
      <c r="K696" s="37" t="s">
        <v>84</v>
      </c>
      <c r="L696" s="37" t="s">
        <v>85</v>
      </c>
      <c r="M696" s="37" t="s">
        <v>86</v>
      </c>
      <c r="N696" s="153"/>
      <c r="O696" s="153"/>
      <c r="P696" s="153"/>
      <c r="Q696" s="153"/>
      <c r="R696" s="153"/>
      <c r="S696" s="153"/>
      <c r="T696" s="153"/>
      <c r="U696" s="153"/>
      <c r="V696" s="153"/>
      <c r="W696" s="153"/>
      <c r="X696" s="153"/>
      <c r="Y696" s="153"/>
      <c r="Z696" s="153"/>
    </row>
    <row r="697" spans="1:26" ht="13.5" customHeight="1" outlineLevel="1" x14ac:dyDescent="0.3">
      <c r="A697" s="40"/>
      <c r="B697" s="68"/>
      <c r="C697" s="68"/>
      <c r="D697" s="40" t="str">
        <f>D$58</f>
        <v>Misura</v>
      </c>
      <c r="E697" s="39" t="s">
        <v>115</v>
      </c>
      <c r="F697" s="39" t="s">
        <v>142</v>
      </c>
      <c r="G697" s="39"/>
      <c r="H697" s="57">
        <f t="shared" ref="H697:M697" si="540">H$58</f>
        <v>2022</v>
      </c>
      <c r="I697" s="57">
        <f t="shared" si="540"/>
        <v>2023</v>
      </c>
      <c r="J697" s="57">
        <f t="shared" si="540"/>
        <v>2024</v>
      </c>
      <c r="K697" s="57">
        <f t="shared" si="540"/>
        <v>2025</v>
      </c>
      <c r="L697" s="57">
        <f t="shared" si="540"/>
        <v>2026</v>
      </c>
      <c r="M697" s="57">
        <f t="shared" si="540"/>
        <v>2027</v>
      </c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3.5" customHeight="1" outlineLevel="1" x14ac:dyDescent="0.3">
      <c r="A698" s="35" t="s">
        <v>486</v>
      </c>
      <c r="B698" s="35"/>
      <c r="C698" s="35"/>
      <c r="D698" s="35" t="s">
        <v>93</v>
      </c>
      <c r="E698" s="37"/>
      <c r="F698" s="36">
        <f t="shared" ref="F698:F703" si="541">SUM(H698:L698)</f>
        <v>57917.752224676056</v>
      </c>
      <c r="G698" s="36"/>
      <c r="H698" s="37">
        <f t="shared" ref="H698:M698" si="542">H499</f>
        <v>1253.5857142857144</v>
      </c>
      <c r="I698" s="37">
        <f t="shared" si="542"/>
        <v>4320.5483000000004</v>
      </c>
      <c r="J698" s="37">
        <f t="shared" si="542"/>
        <v>8276.5163362000003</v>
      </c>
      <c r="K698" s="37">
        <f t="shared" si="542"/>
        <v>15661.4505016106</v>
      </c>
      <c r="L698" s="37">
        <f t="shared" si="542"/>
        <v>28405.651372579741</v>
      </c>
      <c r="M698" s="37">
        <f t="shared" si="542"/>
        <v>31555.311137463657</v>
      </c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3.5" customHeight="1" outlineLevel="1" x14ac:dyDescent="0.3">
      <c r="A699" s="35" t="s">
        <v>487</v>
      </c>
      <c r="B699" s="35"/>
      <c r="C699" s="35"/>
      <c r="D699" s="35" t="s">
        <v>93</v>
      </c>
      <c r="E699" s="37"/>
      <c r="F699" s="36">
        <f t="shared" si="541"/>
        <v>0</v>
      </c>
      <c r="G699" s="36"/>
      <c r="H699" s="37">
        <f t="shared" ref="H699:M699" si="543">H502</f>
        <v>0</v>
      </c>
      <c r="I699" s="37">
        <f t="shared" si="543"/>
        <v>0</v>
      </c>
      <c r="J699" s="37">
        <f t="shared" si="543"/>
        <v>0</v>
      </c>
      <c r="K699" s="37">
        <f t="shared" si="543"/>
        <v>0</v>
      </c>
      <c r="L699" s="37">
        <f t="shared" si="543"/>
        <v>0</v>
      </c>
      <c r="M699" s="37">
        <f t="shared" si="543"/>
        <v>0</v>
      </c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3.5" customHeight="1" outlineLevel="1" x14ac:dyDescent="0.3">
      <c r="A700" s="155" t="s">
        <v>488</v>
      </c>
      <c r="B700" s="155"/>
      <c r="C700" s="155"/>
      <c r="D700" s="155" t="s">
        <v>93</v>
      </c>
      <c r="E700" s="156"/>
      <c r="F700" s="156">
        <f t="shared" si="541"/>
        <v>57917.752224676056</v>
      </c>
      <c r="G700" s="156"/>
      <c r="H700" s="156">
        <f t="shared" ref="H700:M700" si="544">SUM(H698:H699)</f>
        <v>1253.5857142857144</v>
      </c>
      <c r="I700" s="156">
        <f t="shared" si="544"/>
        <v>4320.5483000000004</v>
      </c>
      <c r="J700" s="156">
        <f t="shared" si="544"/>
        <v>8276.5163362000003</v>
      </c>
      <c r="K700" s="156">
        <f t="shared" si="544"/>
        <v>15661.4505016106</v>
      </c>
      <c r="L700" s="156">
        <f t="shared" si="544"/>
        <v>28405.651372579741</v>
      </c>
      <c r="M700" s="156">
        <f t="shared" si="544"/>
        <v>31555.311137463657</v>
      </c>
      <c r="N700" s="157"/>
      <c r="O700" s="157"/>
      <c r="P700" s="157"/>
      <c r="Q700" s="157"/>
      <c r="R700" s="157"/>
      <c r="S700" s="157"/>
      <c r="T700" s="157"/>
      <c r="U700" s="157"/>
      <c r="V700" s="157"/>
      <c r="W700" s="157"/>
      <c r="X700" s="157"/>
      <c r="Y700" s="157"/>
      <c r="Z700" s="157"/>
    </row>
    <row r="701" spans="1:26" ht="13.5" customHeight="1" outlineLevel="1" x14ac:dyDescent="0.3">
      <c r="A701" s="35" t="s">
        <v>489</v>
      </c>
      <c r="B701" s="35"/>
      <c r="C701" s="35"/>
      <c r="D701" s="35" t="s">
        <v>93</v>
      </c>
      <c r="E701" s="37"/>
      <c r="F701" s="36">
        <f t="shared" si="541"/>
        <v>38852.840036249319</v>
      </c>
      <c r="G701" s="36"/>
      <c r="H701" s="37">
        <f t="shared" ref="H701:M701" si="545">H509</f>
        <v>1128.5760377502513</v>
      </c>
      <c r="I701" s="37">
        <f t="shared" si="545"/>
        <v>3012.3233200970876</v>
      </c>
      <c r="J701" s="37">
        <f t="shared" si="545"/>
        <v>5343.5309309301792</v>
      </c>
      <c r="K701" s="37">
        <f t="shared" si="545"/>
        <v>10402.363898302163</v>
      </c>
      <c r="L701" s="37">
        <f t="shared" si="545"/>
        <v>18966.045849169637</v>
      </c>
      <c r="M701" s="37">
        <f t="shared" si="545"/>
        <v>21384.478338969435</v>
      </c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3.5" customHeight="1" outlineLevel="1" x14ac:dyDescent="0.3">
      <c r="A702" s="35" t="s">
        <v>490</v>
      </c>
      <c r="B702" s="35"/>
      <c r="C702" s="35"/>
      <c r="D702" s="35" t="s">
        <v>93</v>
      </c>
      <c r="E702" s="37"/>
      <c r="F702" s="36">
        <f t="shared" si="541"/>
        <v>5719.7526742366299</v>
      </c>
      <c r="G702" s="36"/>
      <c r="H702" s="37">
        <f t="shared" ref="H702:M702" si="546">H518</f>
        <v>342.12426576606077</v>
      </c>
      <c r="I702" s="37">
        <f t="shared" si="546"/>
        <v>801.48495527372972</v>
      </c>
      <c r="J702" s="37">
        <f t="shared" si="546"/>
        <v>1063.4870998005595</v>
      </c>
      <c r="K702" s="37">
        <f t="shared" si="546"/>
        <v>1531.5981819870062</v>
      </c>
      <c r="L702" s="37">
        <f t="shared" si="546"/>
        <v>1981.0581714092739</v>
      </c>
      <c r="M702" s="37">
        <f t="shared" si="546"/>
        <v>2179.2516297912352</v>
      </c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3.5" customHeight="1" outlineLevel="1" x14ac:dyDescent="0.3">
      <c r="A703" s="155" t="s">
        <v>491</v>
      </c>
      <c r="B703" s="155"/>
      <c r="C703" s="155"/>
      <c r="D703" s="155" t="s">
        <v>93</v>
      </c>
      <c r="E703" s="156"/>
      <c r="F703" s="156">
        <f t="shared" si="541"/>
        <v>24784.664862663369</v>
      </c>
      <c r="G703" s="156"/>
      <c r="H703" s="156">
        <f t="shared" ref="H703:M703" si="547">H700-H701--H702</f>
        <v>467.13394230152386</v>
      </c>
      <c r="I703" s="156">
        <f t="shared" si="547"/>
        <v>2109.7099351766424</v>
      </c>
      <c r="J703" s="156">
        <f t="shared" si="547"/>
        <v>3996.4725050703805</v>
      </c>
      <c r="K703" s="156">
        <f t="shared" si="547"/>
        <v>6790.6847852954434</v>
      </c>
      <c r="L703" s="156">
        <f t="shared" si="547"/>
        <v>11420.663694819377</v>
      </c>
      <c r="M703" s="156">
        <f t="shared" si="547"/>
        <v>12350.084428285458</v>
      </c>
      <c r="N703" s="157"/>
      <c r="O703" s="157"/>
      <c r="P703" s="157"/>
      <c r="Q703" s="157"/>
      <c r="R703" s="157"/>
      <c r="S703" s="157"/>
      <c r="T703" s="157"/>
      <c r="U703" s="157"/>
      <c r="V703" s="157"/>
      <c r="W703" s="157"/>
      <c r="X703" s="157"/>
      <c r="Y703" s="157"/>
      <c r="Z703" s="157"/>
    </row>
    <row r="704" spans="1:26" ht="13.5" customHeight="1" outlineLevel="1" x14ac:dyDescent="0.3">
      <c r="A704" s="182" t="s">
        <v>492</v>
      </c>
      <c r="B704" s="182"/>
      <c r="C704" s="182"/>
      <c r="D704" s="182" t="s">
        <v>393</v>
      </c>
      <c r="E704" s="183"/>
      <c r="F704" s="195">
        <f>IF(F$700&lt;&gt;0,F703/F$700,"n/a")</f>
        <v>0.42792863864118985</v>
      </c>
      <c r="G704" s="195"/>
      <c r="H704" s="183">
        <f t="shared" ref="H704:M704" si="548">IF(H$700&lt;&gt;0,H703/H$700,"n/a")</f>
        <v>0.37263821450589357</v>
      </c>
      <c r="I704" s="183">
        <f t="shared" si="548"/>
        <v>0.48829680602729109</v>
      </c>
      <c r="J704" s="183">
        <f t="shared" si="548"/>
        <v>0.48286892005402388</v>
      </c>
      <c r="K704" s="183">
        <f t="shared" si="548"/>
        <v>0.43359232815613724</v>
      </c>
      <c r="L704" s="183">
        <f t="shared" si="548"/>
        <v>0.40205603965990577</v>
      </c>
      <c r="M704" s="183">
        <f t="shared" si="548"/>
        <v>0.3913789464627706</v>
      </c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  <c r="Z704" s="183"/>
    </row>
    <row r="705" spans="1:26" ht="13.5" customHeight="1" outlineLevel="1" x14ac:dyDescent="0.3">
      <c r="A705" s="35"/>
      <c r="B705" s="35"/>
      <c r="C705" s="35"/>
      <c r="D705" s="35"/>
      <c r="E705" s="37"/>
      <c r="F705" s="36"/>
      <c r="G705" s="36"/>
      <c r="H705" s="80"/>
      <c r="I705" s="80"/>
      <c r="J705" s="80"/>
      <c r="K705" s="80"/>
      <c r="L705" s="80"/>
      <c r="M705" s="80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3.5" customHeight="1" outlineLevel="1" x14ac:dyDescent="0.3">
      <c r="A706" s="35" t="s">
        <v>493</v>
      </c>
      <c r="B706" s="35"/>
      <c r="C706" s="35"/>
      <c r="D706" s="35" t="s">
        <v>93</v>
      </c>
      <c r="E706" s="37"/>
      <c r="F706" s="36">
        <f t="shared" ref="F706:F707" si="549">SUM(H706:L706)</f>
        <v>2978.4539009158539</v>
      </c>
      <c r="G706" s="36"/>
      <c r="H706" s="37">
        <f t="shared" ref="H706:M706" si="550">H599+H613+H555</f>
        <v>137.35456929185096</v>
      </c>
      <c r="I706" s="37">
        <f t="shared" si="550"/>
        <v>314.22533296443481</v>
      </c>
      <c r="J706" s="37">
        <f t="shared" si="550"/>
        <v>487.28136664178191</v>
      </c>
      <c r="K706" s="37">
        <f t="shared" si="550"/>
        <v>762.03753161645034</v>
      </c>
      <c r="L706" s="37">
        <f t="shared" si="550"/>
        <v>1277.5551004013359</v>
      </c>
      <c r="M706" s="37">
        <f t="shared" si="550"/>
        <v>1277.5551004013359</v>
      </c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3.5" customHeight="1" outlineLevel="1" x14ac:dyDescent="0.3">
      <c r="A707" s="155" t="s">
        <v>494</v>
      </c>
      <c r="B707" s="155"/>
      <c r="C707" s="155"/>
      <c r="D707" s="155" t="s">
        <v>93</v>
      </c>
      <c r="E707" s="156"/>
      <c r="F707" s="156">
        <f t="shared" si="549"/>
        <v>21806.210961747514</v>
      </c>
      <c r="G707" s="156"/>
      <c r="H707" s="156">
        <f t="shared" ref="H707:M707" si="551">H703-H706</f>
        <v>329.7793730096729</v>
      </c>
      <c r="I707" s="156">
        <f t="shared" si="551"/>
        <v>1795.4846022122076</v>
      </c>
      <c r="J707" s="156">
        <f t="shared" si="551"/>
        <v>3509.1911384285986</v>
      </c>
      <c r="K707" s="156">
        <f t="shared" si="551"/>
        <v>6028.6472536789934</v>
      </c>
      <c r="L707" s="156">
        <f t="shared" si="551"/>
        <v>10143.108594418041</v>
      </c>
      <c r="M707" s="156">
        <f t="shared" si="551"/>
        <v>11072.529327884122</v>
      </c>
      <c r="N707" s="157"/>
      <c r="O707" s="157"/>
      <c r="P707" s="157"/>
      <c r="Q707" s="157"/>
      <c r="R707" s="157"/>
      <c r="S707" s="157"/>
      <c r="T707" s="157"/>
      <c r="U707" s="157"/>
      <c r="V707" s="157"/>
      <c r="W707" s="157"/>
      <c r="X707" s="157"/>
      <c r="Y707" s="157"/>
      <c r="Z707" s="157"/>
    </row>
    <row r="708" spans="1:26" ht="13.5" customHeight="1" outlineLevel="1" x14ac:dyDescent="0.3">
      <c r="A708" s="182" t="s">
        <v>492</v>
      </c>
      <c r="B708" s="182"/>
      <c r="C708" s="182"/>
      <c r="D708" s="182" t="s">
        <v>393</v>
      </c>
      <c r="E708" s="183"/>
      <c r="F708" s="195">
        <f>IF(F$700&lt;&gt;0,F707/F$700,"n/a")</f>
        <v>0.37650306035973724</v>
      </c>
      <c r="G708" s="195"/>
      <c r="H708" s="183">
        <f t="shared" ref="H708:M708" si="552">IF(H$700&lt;&gt;0,H707/H$700,"n/a")</f>
        <v>0.26306886657333933</v>
      </c>
      <c r="I708" s="183">
        <f t="shared" si="552"/>
        <v>0.4155686911802855</v>
      </c>
      <c r="J708" s="183">
        <f t="shared" si="552"/>
        <v>0.42399374276348917</v>
      </c>
      <c r="K708" s="183">
        <f t="shared" si="552"/>
        <v>0.38493543449625028</v>
      </c>
      <c r="L708" s="183">
        <f t="shared" si="552"/>
        <v>0.35708065488015123</v>
      </c>
      <c r="M708" s="183">
        <f t="shared" si="552"/>
        <v>0.35089273180191832</v>
      </c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</row>
    <row r="709" spans="1:26" ht="13.5" customHeight="1" outlineLevel="1" x14ac:dyDescent="0.3">
      <c r="A709" s="35"/>
      <c r="B709" s="35"/>
      <c r="C709" s="35"/>
      <c r="D709" s="35"/>
      <c r="E709" s="37"/>
      <c r="F709" s="36"/>
      <c r="G709" s="36"/>
      <c r="H709" s="80"/>
      <c r="I709" s="80"/>
      <c r="J709" s="80"/>
      <c r="K709" s="80"/>
      <c r="L709" s="80"/>
      <c r="M709" s="80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3.5" customHeight="1" outlineLevel="1" x14ac:dyDescent="0.3">
      <c r="A710" s="35" t="s">
        <v>495</v>
      </c>
      <c r="B710" s="35"/>
      <c r="C710" s="35"/>
      <c r="D710" s="35" t="s">
        <v>93</v>
      </c>
      <c r="E710" s="37"/>
      <c r="F710" s="36">
        <f t="shared" ref="F710:F712" si="553">SUM(H710:L710)</f>
        <v>0</v>
      </c>
      <c r="G710" s="36"/>
      <c r="H710" s="154">
        <v>0</v>
      </c>
      <c r="I710" s="154">
        <v>0</v>
      </c>
      <c r="J710" s="154">
        <v>0</v>
      </c>
      <c r="K710" s="154">
        <v>0</v>
      </c>
      <c r="L710" s="154">
        <v>0</v>
      </c>
      <c r="M710" s="154">
        <v>0</v>
      </c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3.5" customHeight="1" outlineLevel="1" x14ac:dyDescent="0.3">
      <c r="A711" s="35" t="s">
        <v>496</v>
      </c>
      <c r="B711" s="35"/>
      <c r="C711" s="35"/>
      <c r="D711" s="35" t="s">
        <v>93</v>
      </c>
      <c r="E711" s="37"/>
      <c r="F711" s="36">
        <f t="shared" si="553"/>
        <v>511.8663153640025</v>
      </c>
      <c r="G711" s="36"/>
      <c r="H711" s="37">
        <f t="shared" ref="H711:M711" si="554">H689</f>
        <v>24.723822472533172</v>
      </c>
      <c r="I711" s="37">
        <f t="shared" si="554"/>
        <v>55.543008541116492</v>
      </c>
      <c r="J711" s="37">
        <f t="shared" si="554"/>
        <v>84.344896552993646</v>
      </c>
      <c r="K711" s="37">
        <f t="shared" si="554"/>
        <v>130.12380892575862</v>
      </c>
      <c r="L711" s="37">
        <f t="shared" si="554"/>
        <v>217.13077887160057</v>
      </c>
      <c r="M711" s="37">
        <f t="shared" si="554"/>
        <v>217.13077887160057</v>
      </c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3.5" customHeight="1" outlineLevel="1" x14ac:dyDescent="0.3">
      <c r="A712" s="155" t="s">
        <v>497</v>
      </c>
      <c r="B712" s="155"/>
      <c r="C712" s="155"/>
      <c r="D712" s="155" t="s">
        <v>93</v>
      </c>
      <c r="E712" s="156"/>
      <c r="F712" s="156">
        <f t="shared" si="553"/>
        <v>21294.344646383513</v>
      </c>
      <c r="G712" s="156"/>
      <c r="H712" s="156">
        <f t="shared" ref="H712:M712" si="555">H707+H710-H711</f>
        <v>305.05555053713971</v>
      </c>
      <c r="I712" s="156">
        <f t="shared" si="555"/>
        <v>1739.9415936710911</v>
      </c>
      <c r="J712" s="156">
        <f t="shared" si="555"/>
        <v>3424.8462418756048</v>
      </c>
      <c r="K712" s="156">
        <f t="shared" si="555"/>
        <v>5898.5234447532348</v>
      </c>
      <c r="L712" s="156">
        <f t="shared" si="555"/>
        <v>9925.977815546441</v>
      </c>
      <c r="M712" s="156">
        <f t="shared" si="555"/>
        <v>10855.398549012521</v>
      </c>
      <c r="N712" s="157"/>
      <c r="O712" s="157"/>
      <c r="P712" s="157"/>
      <c r="Q712" s="157"/>
      <c r="R712" s="157"/>
      <c r="S712" s="157"/>
      <c r="T712" s="157"/>
      <c r="U712" s="157"/>
      <c r="V712" s="157"/>
      <c r="W712" s="157"/>
      <c r="X712" s="157"/>
      <c r="Y712" s="157"/>
      <c r="Z712" s="157"/>
    </row>
    <row r="713" spans="1:26" ht="13.5" customHeight="1" outlineLevel="1" x14ac:dyDescent="0.3">
      <c r="A713" s="182" t="s">
        <v>492</v>
      </c>
      <c r="B713" s="182"/>
      <c r="C713" s="182"/>
      <c r="D713" s="182" t="s">
        <v>393</v>
      </c>
      <c r="E713" s="183"/>
      <c r="F713" s="195">
        <f>IF(F$700&lt;&gt;0,F712/F$700,"n/a")</f>
        <v>0.367665246464986</v>
      </c>
      <c r="G713" s="195"/>
      <c r="H713" s="183">
        <f t="shared" ref="H713:M713" si="556">IF(H$700&lt;&gt;0,H712/H$700,"n/a")</f>
        <v>0.24334638394547956</v>
      </c>
      <c r="I713" s="183">
        <f t="shared" si="556"/>
        <v>0.40271314491984522</v>
      </c>
      <c r="J713" s="183">
        <f t="shared" si="556"/>
        <v>0.41380287342585681</v>
      </c>
      <c r="K713" s="183">
        <f t="shared" si="556"/>
        <v>0.37662689315696779</v>
      </c>
      <c r="L713" s="183">
        <f t="shared" si="556"/>
        <v>0.34943672600051995</v>
      </c>
      <c r="M713" s="183">
        <f t="shared" si="556"/>
        <v>0.34401177354022605</v>
      </c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  <c r="Z713" s="183"/>
    </row>
    <row r="714" spans="1:26" ht="13.5" customHeight="1" outlineLevel="1" x14ac:dyDescent="0.3">
      <c r="A714" s="35"/>
      <c r="B714" s="35"/>
      <c r="C714" s="35"/>
      <c r="D714" s="35"/>
      <c r="E714" s="37"/>
      <c r="F714" s="36"/>
      <c r="G714" s="36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3.5" customHeight="1" outlineLevel="1" x14ac:dyDescent="0.3">
      <c r="A715" s="35" t="s">
        <v>498</v>
      </c>
      <c r="B715" s="35"/>
      <c r="C715" s="35"/>
      <c r="D715" s="35" t="s">
        <v>93</v>
      </c>
      <c r="E715" s="50">
        <v>0.23</v>
      </c>
      <c r="F715" s="107"/>
      <c r="G715" s="107"/>
      <c r="H715" s="37">
        <f>IF(SUM($H712:H712)&gt;0,SUM($H712:H712)*$E715,0)</f>
        <v>70.162776623542129</v>
      </c>
      <c r="I715" s="37">
        <f t="shared" ref="I715:M715" si="557">IF(SUM($H712:I712)&gt;0,SUM($H712:I712)*$E715-SUM($H715:H715),0)</f>
        <v>400.18656654435097</v>
      </c>
      <c r="J715" s="37">
        <f t="shared" si="557"/>
        <v>787.71463563138923</v>
      </c>
      <c r="K715" s="37">
        <f t="shared" si="557"/>
        <v>1356.6603922932441</v>
      </c>
      <c r="L715" s="37">
        <f t="shared" si="557"/>
        <v>2282.9748975756816</v>
      </c>
      <c r="M715" s="37">
        <f t="shared" si="557"/>
        <v>2496.7416662728801</v>
      </c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3.5" customHeight="1" outlineLevel="1" x14ac:dyDescent="0.3">
      <c r="A716" s="155" t="s">
        <v>499</v>
      </c>
      <c r="B716" s="155"/>
      <c r="C716" s="155"/>
      <c r="D716" s="155" t="s">
        <v>93</v>
      </c>
      <c r="E716" s="156"/>
      <c r="F716" s="156">
        <f>SUM(H716:L716)</f>
        <v>16396.645377715304</v>
      </c>
      <c r="G716" s="156"/>
      <c r="H716" s="156">
        <f t="shared" ref="H716:M716" si="558">H712-H715</f>
        <v>234.89277391359758</v>
      </c>
      <c r="I716" s="156">
        <f t="shared" si="558"/>
        <v>1339.7550271267401</v>
      </c>
      <c r="J716" s="156">
        <f t="shared" si="558"/>
        <v>2637.1316062442156</v>
      </c>
      <c r="K716" s="156">
        <f t="shared" si="558"/>
        <v>4541.8630524599903</v>
      </c>
      <c r="L716" s="156">
        <f t="shared" si="558"/>
        <v>7643.0029179707599</v>
      </c>
      <c r="M716" s="156">
        <f t="shared" si="558"/>
        <v>8358.6568827396404</v>
      </c>
      <c r="N716" s="157"/>
      <c r="O716" s="157"/>
      <c r="P716" s="157"/>
      <c r="Q716" s="157"/>
      <c r="R716" s="157"/>
      <c r="S716" s="157"/>
      <c r="T716" s="157"/>
      <c r="U716" s="157"/>
      <c r="V716" s="157"/>
      <c r="W716" s="157"/>
      <c r="X716" s="157"/>
      <c r="Y716" s="157"/>
      <c r="Z716" s="157"/>
    </row>
    <row r="717" spans="1:26" ht="13.5" customHeight="1" outlineLevel="1" x14ac:dyDescent="0.3">
      <c r="A717" s="182" t="s">
        <v>492</v>
      </c>
      <c r="B717" s="182"/>
      <c r="C717" s="182"/>
      <c r="D717" s="182" t="s">
        <v>393</v>
      </c>
      <c r="E717" s="183"/>
      <c r="F717" s="195">
        <f>IF(F$700&lt;&gt;0,F716/F$700,"n/a")</f>
        <v>0.28310223977803917</v>
      </c>
      <c r="G717" s="195"/>
      <c r="H717" s="183">
        <f t="shared" ref="H717:M717" si="559">IF(H$700&lt;&gt;0,H716/H$700,"n/a")</f>
        <v>0.18737671563801928</v>
      </c>
      <c r="I717" s="183">
        <f t="shared" si="559"/>
        <v>0.31008912158828078</v>
      </c>
      <c r="J717" s="183">
        <f t="shared" si="559"/>
        <v>0.31862821253790974</v>
      </c>
      <c r="K717" s="183">
        <f t="shared" si="559"/>
        <v>0.29000270773086517</v>
      </c>
      <c r="L717" s="183">
        <f t="shared" si="559"/>
        <v>0.26906627902040037</v>
      </c>
      <c r="M717" s="183">
        <f t="shared" si="559"/>
        <v>0.26488906562597403</v>
      </c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  <c r="Z717" s="183"/>
    </row>
    <row r="718" spans="1:26" ht="13.5" customHeight="1" outlineLevel="1" x14ac:dyDescent="0.3">
      <c r="A718" s="35"/>
      <c r="B718" s="35"/>
      <c r="C718" s="35"/>
      <c r="D718" s="35"/>
      <c r="E718" s="37"/>
      <c r="F718" s="36"/>
      <c r="G718" s="36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3.5" customHeight="1" outlineLevel="1" x14ac:dyDescent="0.3">
      <c r="A719" s="35"/>
      <c r="B719" s="35"/>
      <c r="C719" s="35"/>
      <c r="D719" s="35"/>
      <c r="E719" s="37"/>
      <c r="F719" s="36"/>
      <c r="G719" s="36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3.5" customHeight="1" outlineLevel="1" x14ac:dyDescent="0.3">
      <c r="A720" s="94"/>
      <c r="B720" s="94"/>
      <c r="C720" s="94"/>
      <c r="D720" s="94"/>
      <c r="E720" s="95"/>
      <c r="F720" s="96"/>
      <c r="G720" s="96"/>
      <c r="H720" s="95"/>
      <c r="I720" s="95"/>
      <c r="J720" s="95"/>
      <c r="K720" s="95"/>
      <c r="L720" s="95"/>
      <c r="M720" s="95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3.5" customHeight="1" outlineLevel="1" x14ac:dyDescent="0.3">
      <c r="A721" s="35"/>
      <c r="B721" s="35"/>
      <c r="C721" s="35"/>
      <c r="D721" s="35"/>
      <c r="E721" s="37"/>
      <c r="F721" s="36"/>
      <c r="G721" s="36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3.5" customHeight="1" outlineLevel="1" x14ac:dyDescent="0.3">
      <c r="A722" s="64" t="s">
        <v>500</v>
      </c>
      <c r="B722" s="65"/>
      <c r="C722" s="65"/>
      <c r="D722" s="65"/>
      <c r="E722" s="66"/>
      <c r="F722" s="67"/>
      <c r="G722" s="67"/>
      <c r="H722" s="66"/>
      <c r="I722" s="66"/>
      <c r="J722" s="66"/>
      <c r="K722" s="66"/>
      <c r="L722" s="66"/>
      <c r="M722" s="66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3.5" customHeight="1" outlineLevel="1" x14ac:dyDescent="0.3">
      <c r="A723" s="152"/>
      <c r="B723" s="152"/>
      <c r="C723" s="152"/>
      <c r="D723" s="35"/>
      <c r="E723" s="36"/>
      <c r="F723" s="36" t="s">
        <v>163</v>
      </c>
      <c r="G723" s="36"/>
      <c r="H723" s="37" t="s">
        <v>81</v>
      </c>
      <c r="I723" s="37" t="s">
        <v>82</v>
      </c>
      <c r="J723" s="37" t="s">
        <v>83</v>
      </c>
      <c r="K723" s="37" t="s">
        <v>84</v>
      </c>
      <c r="L723" s="37" t="s">
        <v>85</v>
      </c>
      <c r="M723" s="37" t="s">
        <v>86</v>
      </c>
      <c r="N723" s="153"/>
      <c r="O723" s="153"/>
      <c r="P723" s="153"/>
      <c r="Q723" s="153"/>
      <c r="R723" s="153"/>
      <c r="S723" s="153"/>
      <c r="T723" s="153"/>
      <c r="U723" s="153"/>
      <c r="V723" s="153"/>
      <c r="W723" s="153"/>
      <c r="X723" s="153"/>
      <c r="Y723" s="153"/>
      <c r="Z723" s="153"/>
    </row>
    <row r="724" spans="1:26" ht="13.5" customHeight="1" outlineLevel="1" x14ac:dyDescent="0.3">
      <c r="A724" s="40" t="s">
        <v>501</v>
      </c>
      <c r="B724" s="39"/>
      <c r="C724" s="196" t="s">
        <v>502</v>
      </c>
      <c r="D724" s="40" t="str">
        <f>D$58</f>
        <v>Misura</v>
      </c>
      <c r="E724" s="39" t="s">
        <v>115</v>
      </c>
      <c r="F724" s="39" t="s">
        <v>142</v>
      </c>
      <c r="G724" s="39"/>
      <c r="H724" s="57">
        <f t="shared" ref="H724:M724" si="560">H$58</f>
        <v>2022</v>
      </c>
      <c r="I724" s="57">
        <f t="shared" si="560"/>
        <v>2023</v>
      </c>
      <c r="J724" s="57">
        <f t="shared" si="560"/>
        <v>2024</v>
      </c>
      <c r="K724" s="57">
        <f t="shared" si="560"/>
        <v>2025</v>
      </c>
      <c r="L724" s="57">
        <f t="shared" si="560"/>
        <v>2026</v>
      </c>
      <c r="M724" s="57">
        <f t="shared" si="560"/>
        <v>2027</v>
      </c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3.5" customHeight="1" outlineLevel="1" x14ac:dyDescent="0.3">
      <c r="A725" s="35" t="s">
        <v>371</v>
      </c>
      <c r="B725" s="154"/>
      <c r="C725" s="154">
        <v>60</v>
      </c>
      <c r="D725" s="35" t="s">
        <v>93</v>
      </c>
      <c r="E725" s="50">
        <v>0.22</v>
      </c>
      <c r="F725" s="36">
        <f t="shared" ref="F725:F728" si="561">SUM(H725:L725)</f>
        <v>70659.657714104789</v>
      </c>
      <c r="G725" s="36"/>
      <c r="H725" s="37">
        <f t="shared" ref="H725:M725" si="562">H499*(1+$E725)</f>
        <v>1529.3745714285715</v>
      </c>
      <c r="I725" s="37">
        <f t="shared" si="562"/>
        <v>5271.0689259999999</v>
      </c>
      <c r="J725" s="37">
        <f t="shared" si="562"/>
        <v>10097.349930164</v>
      </c>
      <c r="K725" s="37">
        <f t="shared" si="562"/>
        <v>19106.969611964931</v>
      </c>
      <c r="L725" s="37">
        <f t="shared" si="562"/>
        <v>34654.894674547286</v>
      </c>
      <c r="M725" s="37">
        <f t="shared" si="562"/>
        <v>38497.47958770566</v>
      </c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3.5" customHeight="1" outlineLevel="1" x14ac:dyDescent="0.3">
      <c r="A726" s="35" t="s">
        <v>503</v>
      </c>
      <c r="B726" s="154"/>
      <c r="C726" s="154">
        <v>60</v>
      </c>
      <c r="D726" s="35" t="s">
        <v>93</v>
      </c>
      <c r="E726" s="50">
        <v>0.22</v>
      </c>
      <c r="F726" s="36">
        <f t="shared" si="561"/>
        <v>20586.852668</v>
      </c>
      <c r="G726" s="36"/>
      <c r="H726" s="37">
        <f t="shared" ref="H726:M726" si="563">H500*(1+$E726)</f>
        <v>599.61706800000002</v>
      </c>
      <c r="I726" s="37">
        <f t="shared" si="563"/>
        <v>1998.7235599999999</v>
      </c>
      <c r="J726" s="37">
        <f t="shared" si="563"/>
        <v>3997.4471199999998</v>
      </c>
      <c r="K726" s="37">
        <f t="shared" si="563"/>
        <v>5996.1706800000002</v>
      </c>
      <c r="L726" s="37">
        <f t="shared" si="563"/>
        <v>7994.8942399999996</v>
      </c>
      <c r="M726" s="37">
        <f t="shared" si="563"/>
        <v>7994.8942399999996</v>
      </c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3.5" customHeight="1" outlineLevel="1" x14ac:dyDescent="0.3">
      <c r="A727" s="35" t="s">
        <v>374</v>
      </c>
      <c r="B727" s="154"/>
      <c r="C727" s="154">
        <v>60</v>
      </c>
      <c r="D727" s="35" t="s">
        <v>93</v>
      </c>
      <c r="E727" s="50">
        <v>0.22</v>
      </c>
      <c r="F727" s="36">
        <f t="shared" si="561"/>
        <v>0</v>
      </c>
      <c r="G727" s="36"/>
      <c r="H727" s="37">
        <f t="shared" ref="H727:M727" si="564">H502*(1+$E727)</f>
        <v>0</v>
      </c>
      <c r="I727" s="37">
        <f t="shared" si="564"/>
        <v>0</v>
      </c>
      <c r="J727" s="37">
        <f t="shared" si="564"/>
        <v>0</v>
      </c>
      <c r="K727" s="37">
        <f t="shared" si="564"/>
        <v>0</v>
      </c>
      <c r="L727" s="37">
        <f t="shared" si="564"/>
        <v>0</v>
      </c>
      <c r="M727" s="37">
        <f t="shared" si="564"/>
        <v>0</v>
      </c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3.5" customHeight="1" outlineLevel="1" x14ac:dyDescent="0.3">
      <c r="A728" s="167" t="s">
        <v>504</v>
      </c>
      <c r="B728" s="167"/>
      <c r="C728" s="167"/>
      <c r="D728" s="167" t="s">
        <v>93</v>
      </c>
      <c r="E728" s="168"/>
      <c r="F728" s="36">
        <f t="shared" si="561"/>
        <v>91246.510382104796</v>
      </c>
      <c r="G728" s="36"/>
      <c r="H728" s="36">
        <f t="shared" ref="H728:M728" si="565">SUM(H725:H727)</f>
        <v>2128.9916394285715</v>
      </c>
      <c r="I728" s="36">
        <f t="shared" si="565"/>
        <v>7269.7924860000003</v>
      </c>
      <c r="J728" s="36">
        <f t="shared" si="565"/>
        <v>14094.797050164001</v>
      </c>
      <c r="K728" s="36">
        <f t="shared" si="565"/>
        <v>25103.14029196493</v>
      </c>
      <c r="L728" s="36">
        <f t="shared" si="565"/>
        <v>42649.788914547287</v>
      </c>
      <c r="M728" s="36">
        <f t="shared" si="565"/>
        <v>46492.373827705662</v>
      </c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3.5" customHeight="1" outlineLevel="1" x14ac:dyDescent="0.3">
      <c r="A729" s="170" t="s">
        <v>505</v>
      </c>
      <c r="B729" s="170"/>
      <c r="C729" s="170"/>
      <c r="D729" s="170" t="s">
        <v>93</v>
      </c>
      <c r="E729" s="157"/>
      <c r="F729" s="157"/>
      <c r="G729" s="157"/>
      <c r="H729" s="157">
        <f t="shared" ref="H729:M729" si="566">SUMPRODUCT($C725:$C727,H725:H727)/360</f>
        <v>354.8319399047619</v>
      </c>
      <c r="I729" s="157">
        <f t="shared" si="566"/>
        <v>1211.6320809999997</v>
      </c>
      <c r="J729" s="157">
        <f t="shared" si="566"/>
        <v>2349.132841694</v>
      </c>
      <c r="K729" s="157">
        <f t="shared" si="566"/>
        <v>4183.856715327488</v>
      </c>
      <c r="L729" s="157">
        <f t="shared" si="566"/>
        <v>7108.2981524245479</v>
      </c>
      <c r="M729" s="157">
        <f t="shared" si="566"/>
        <v>7748.7289712842758</v>
      </c>
      <c r="N729" s="157"/>
      <c r="O729" s="157"/>
      <c r="P729" s="157"/>
      <c r="Q729" s="157"/>
      <c r="R729" s="157"/>
      <c r="S729" s="157"/>
      <c r="T729" s="157"/>
      <c r="U729" s="157"/>
      <c r="V729" s="157"/>
      <c r="W729" s="157"/>
      <c r="X729" s="157"/>
      <c r="Y729" s="157"/>
      <c r="Z729" s="157"/>
    </row>
    <row r="730" spans="1:26" ht="13.5" customHeight="1" outlineLevel="1" x14ac:dyDescent="0.3">
      <c r="A730" s="35" t="s">
        <v>506</v>
      </c>
      <c r="B730" s="35"/>
      <c r="C730" s="35"/>
      <c r="D730" s="35" t="s">
        <v>93</v>
      </c>
      <c r="E730" s="50"/>
      <c r="F730" s="37"/>
      <c r="G730" s="37"/>
      <c r="H730" s="37">
        <f>-H729</f>
        <v>-354.8319399047619</v>
      </c>
      <c r="I730" s="37">
        <f t="shared" ref="I730:M730" si="567">-(I729-H729)</f>
        <v>-856.8001410952379</v>
      </c>
      <c r="J730" s="37">
        <f t="shared" si="567"/>
        <v>-1137.5007606940003</v>
      </c>
      <c r="K730" s="37">
        <f t="shared" si="567"/>
        <v>-1834.723873633488</v>
      </c>
      <c r="L730" s="37">
        <f t="shared" si="567"/>
        <v>-2924.4414370970599</v>
      </c>
      <c r="M730" s="37">
        <f t="shared" si="567"/>
        <v>-640.43081885972788</v>
      </c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3.5" customHeight="1" outlineLevel="1" x14ac:dyDescent="0.3">
      <c r="A731" s="35"/>
      <c r="B731" s="35"/>
      <c r="C731" s="35"/>
      <c r="D731" s="35"/>
      <c r="E731" s="37"/>
      <c r="F731" s="36"/>
      <c r="G731" s="36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3.5" customHeight="1" outlineLevel="1" x14ac:dyDescent="0.3">
      <c r="A732" s="152"/>
      <c r="B732" s="152"/>
      <c r="C732" s="152"/>
      <c r="D732" s="35"/>
      <c r="E732" s="36"/>
      <c r="F732" s="36" t="s">
        <v>163</v>
      </c>
      <c r="G732" s="36"/>
      <c r="H732" s="37" t="s">
        <v>81</v>
      </c>
      <c r="I732" s="37" t="s">
        <v>82</v>
      </c>
      <c r="J732" s="37" t="s">
        <v>83</v>
      </c>
      <c r="K732" s="37" t="s">
        <v>84</v>
      </c>
      <c r="L732" s="37" t="s">
        <v>85</v>
      </c>
      <c r="M732" s="37" t="s">
        <v>86</v>
      </c>
      <c r="N732" s="153"/>
      <c r="O732" s="153"/>
      <c r="P732" s="153"/>
      <c r="Q732" s="153"/>
      <c r="R732" s="153"/>
      <c r="S732" s="153"/>
      <c r="T732" s="153"/>
      <c r="U732" s="153"/>
      <c r="V732" s="153"/>
      <c r="W732" s="153"/>
      <c r="X732" s="153"/>
      <c r="Y732" s="153"/>
      <c r="Z732" s="153"/>
    </row>
    <row r="733" spans="1:26" ht="13.5" customHeight="1" outlineLevel="1" x14ac:dyDescent="0.3">
      <c r="A733" s="40" t="s">
        <v>507</v>
      </c>
      <c r="B733" s="68"/>
      <c r="C733" s="196" t="s">
        <v>508</v>
      </c>
      <c r="D733" s="40" t="str">
        <f>D$58</f>
        <v>Misura</v>
      </c>
      <c r="E733" s="39" t="s">
        <v>115</v>
      </c>
      <c r="F733" s="39" t="s">
        <v>142</v>
      </c>
      <c r="G733" s="39"/>
      <c r="H733" s="57">
        <f t="shared" ref="H733:M733" si="568">H$58</f>
        <v>2022</v>
      </c>
      <c r="I733" s="57">
        <f t="shared" si="568"/>
        <v>2023</v>
      </c>
      <c r="J733" s="57">
        <f t="shared" si="568"/>
        <v>2024</v>
      </c>
      <c r="K733" s="57">
        <f t="shared" si="568"/>
        <v>2025</v>
      </c>
      <c r="L733" s="57">
        <f t="shared" si="568"/>
        <v>2026</v>
      </c>
      <c r="M733" s="57">
        <f t="shared" si="568"/>
        <v>2027</v>
      </c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3.5" customHeight="1" outlineLevel="1" x14ac:dyDescent="0.3">
      <c r="A734" s="35" t="s">
        <v>509</v>
      </c>
      <c r="B734" s="35"/>
      <c r="C734" s="154">
        <v>60</v>
      </c>
      <c r="D734" s="35" t="s">
        <v>93</v>
      </c>
      <c r="E734" s="50">
        <v>0.1</v>
      </c>
      <c r="F734" s="36">
        <f t="shared" ref="F734:F739" si="569">SUM(H734:L734)</f>
        <v>42738.124039874252</v>
      </c>
      <c r="G734" s="36"/>
      <c r="H734" s="37">
        <f t="shared" ref="H734:M734" si="570">H509*(1+$E734)</f>
        <v>1241.4336415252765</v>
      </c>
      <c r="I734" s="37">
        <f t="shared" si="570"/>
        <v>3313.5556521067965</v>
      </c>
      <c r="J734" s="37">
        <f t="shared" si="570"/>
        <v>5877.8840240231975</v>
      </c>
      <c r="K734" s="37">
        <f t="shared" si="570"/>
        <v>11442.60028813238</v>
      </c>
      <c r="L734" s="37">
        <f t="shared" si="570"/>
        <v>20862.650434086601</v>
      </c>
      <c r="M734" s="37">
        <f t="shared" si="570"/>
        <v>23522.926172866381</v>
      </c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3.5" customHeight="1" outlineLevel="1" x14ac:dyDescent="0.3">
      <c r="A735" s="35" t="s">
        <v>282</v>
      </c>
      <c r="B735" s="35"/>
      <c r="C735" s="154">
        <v>0</v>
      </c>
      <c r="D735" s="35" t="s">
        <v>93</v>
      </c>
      <c r="E735" s="50">
        <v>0</v>
      </c>
      <c r="F735" s="36">
        <f t="shared" si="569"/>
        <v>5250.3552920000002</v>
      </c>
      <c r="G735" s="36"/>
      <c r="H735" s="37">
        <f t="shared" ref="H735:M735" si="571">H514*(1+$E735)</f>
        <v>307.40000000000003</v>
      </c>
      <c r="I735" s="37">
        <f t="shared" si="571"/>
        <v>739.5</v>
      </c>
      <c r="J735" s="37">
        <f t="shared" si="571"/>
        <v>981.09720000000004</v>
      </c>
      <c r="K735" s="37">
        <f t="shared" si="571"/>
        <v>1409.284224</v>
      </c>
      <c r="L735" s="37">
        <f t="shared" si="571"/>
        <v>1813.0738680000002</v>
      </c>
      <c r="M735" s="37">
        <f t="shared" si="571"/>
        <v>2039.2372435104003</v>
      </c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3.5" customHeight="1" outlineLevel="1" x14ac:dyDescent="0.3">
      <c r="A736" s="35" t="s">
        <v>383</v>
      </c>
      <c r="B736" s="35"/>
      <c r="C736" s="154">
        <v>30</v>
      </c>
      <c r="D736" s="35" t="s">
        <v>93</v>
      </c>
      <c r="E736" s="50">
        <v>0.22</v>
      </c>
      <c r="F736" s="36">
        <f t="shared" si="569"/>
        <v>279.63989600491749</v>
      </c>
      <c r="G736" s="36"/>
      <c r="H736" s="37">
        <f t="shared" ref="H736:M736" si="572">H515*(1+$E736)</f>
        <v>12.257214093657499</v>
      </c>
      <c r="I736" s="37">
        <f t="shared" si="572"/>
        <v>30.7189420138122</v>
      </c>
      <c r="J736" s="37">
        <f t="shared" si="572"/>
        <v>44.513803957111357</v>
      </c>
      <c r="K736" s="37">
        <f t="shared" si="572"/>
        <v>74.922096796819218</v>
      </c>
      <c r="L736" s="37">
        <f t="shared" si="572"/>
        <v>117.22783914351719</v>
      </c>
      <c r="M736" s="37">
        <f t="shared" si="572"/>
        <v>75.932707997531892</v>
      </c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3.5" customHeight="1" outlineLevel="1" x14ac:dyDescent="0.3">
      <c r="A737" s="35" t="s">
        <v>384</v>
      </c>
      <c r="B737" s="35"/>
      <c r="C737" s="154">
        <v>60</v>
      </c>
      <c r="D737" s="35" t="s">
        <v>93</v>
      </c>
      <c r="E737" s="50">
        <v>0.22</v>
      </c>
      <c r="F737" s="36">
        <f t="shared" si="569"/>
        <v>223.93482851616005</v>
      </c>
      <c r="G737" s="36"/>
      <c r="H737" s="37">
        <f t="shared" ref="H737:M737" si="573">H516*(1+$E737)</f>
        <v>25.973800000000004</v>
      </c>
      <c r="I737" s="37">
        <f t="shared" si="573"/>
        <v>35.221400000000003</v>
      </c>
      <c r="J737" s="37">
        <f t="shared" si="573"/>
        <v>43.155792000000005</v>
      </c>
      <c r="K737" s="37">
        <f t="shared" si="573"/>
        <v>55.800439056000002</v>
      </c>
      <c r="L737" s="37">
        <f t="shared" si="573"/>
        <v>63.78339746016001</v>
      </c>
      <c r="M737" s="37">
        <f t="shared" si="573"/>
        <v>68.561209717113627</v>
      </c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3.5" customHeight="1" outlineLevel="1" x14ac:dyDescent="0.3">
      <c r="A738" s="35" t="s">
        <v>385</v>
      </c>
      <c r="B738" s="35"/>
      <c r="C738" s="154">
        <v>30</v>
      </c>
      <c r="D738" s="35" t="s">
        <v>93</v>
      </c>
      <c r="E738" s="50">
        <v>0.22</v>
      </c>
      <c r="F738" s="36">
        <f t="shared" si="569"/>
        <v>69.090081807610773</v>
      </c>
      <c r="G738" s="36"/>
      <c r="H738" s="37">
        <f t="shared" ref="H738:M738" si="574">H517*(1+$E738)</f>
        <v>4.1325901409365748</v>
      </c>
      <c r="I738" s="37">
        <f t="shared" si="574"/>
        <v>9.6813034201381232</v>
      </c>
      <c r="J738" s="37">
        <f t="shared" si="574"/>
        <v>12.846081799571113</v>
      </c>
      <c r="K738" s="37">
        <f t="shared" si="574"/>
        <v>18.500492891328193</v>
      </c>
      <c r="L738" s="37">
        <f t="shared" si="574"/>
        <v>23.92961355563677</v>
      </c>
      <c r="M738" s="37">
        <f t="shared" si="574"/>
        <v>26.323633547973337</v>
      </c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3.5" customHeight="1" outlineLevel="1" x14ac:dyDescent="0.3">
      <c r="A739" s="167" t="s">
        <v>510</v>
      </c>
      <c r="B739" s="167"/>
      <c r="C739" s="167"/>
      <c r="D739" s="167" t="s">
        <v>93</v>
      </c>
      <c r="E739" s="168"/>
      <c r="F739" s="36">
        <f t="shared" si="569"/>
        <v>52960.942799582677</v>
      </c>
      <c r="G739" s="36"/>
      <c r="H739" s="36">
        <f t="shared" ref="H739:M739" si="575">SUMPRODUCT($E734:$E738,H734:H738)+SUM(H734:H738)</f>
        <v>1724.660602844009</v>
      </c>
      <c r="I739" s="36">
        <f t="shared" si="575"/>
        <v>4476.6696247468954</v>
      </c>
      <c r="J739" s="36">
        <f t="shared" si="575"/>
        <v>7569.3987532886695</v>
      </c>
      <c r="K739" s="36">
        <f t="shared" si="575"/>
        <v>14178.196636013477</v>
      </c>
      <c r="L739" s="36">
        <f t="shared" si="575"/>
        <v>25012.017182689626</v>
      </c>
      <c r="M739" s="36">
        <f t="shared" si="575"/>
        <v>28122.853446203815</v>
      </c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3.5" customHeight="1" outlineLevel="1" x14ac:dyDescent="0.3">
      <c r="A740" s="170" t="s">
        <v>511</v>
      </c>
      <c r="B740" s="170"/>
      <c r="C740" s="170"/>
      <c r="D740" s="170" t="s">
        <v>93</v>
      </c>
      <c r="E740" s="157"/>
      <c r="F740" s="157"/>
      <c r="G740" s="157"/>
      <c r="H740" s="157">
        <f t="shared" ref="H740:M740" si="576">SUMPRODUCT($C734:$C738,H734:H738)/360</f>
        <v>212.60039060709556</v>
      </c>
      <c r="I740" s="157">
        <f t="shared" si="576"/>
        <v>561.496195803962</v>
      </c>
      <c r="J740" s="157">
        <f t="shared" si="576"/>
        <v>991.61995981692326</v>
      </c>
      <c r="K740" s="157">
        <f t="shared" si="576"/>
        <v>1924.1853370054089</v>
      </c>
      <c r="L740" s="157">
        <f t="shared" si="576"/>
        <v>3499.5020929827224</v>
      </c>
      <c r="M740" s="157">
        <f t="shared" si="576"/>
        <v>3940.4359255593749</v>
      </c>
      <c r="N740" s="157"/>
      <c r="O740" s="157"/>
      <c r="P740" s="157"/>
      <c r="Q740" s="157"/>
      <c r="R740" s="157"/>
      <c r="S740" s="157"/>
      <c r="T740" s="157"/>
      <c r="U740" s="157"/>
      <c r="V740" s="157"/>
      <c r="W740" s="157"/>
      <c r="X740" s="157"/>
      <c r="Y740" s="157"/>
      <c r="Z740" s="157"/>
    </row>
    <row r="741" spans="1:26" ht="13.5" customHeight="1" outlineLevel="1" x14ac:dyDescent="0.3">
      <c r="A741" s="35" t="s">
        <v>512</v>
      </c>
      <c r="B741" s="35"/>
      <c r="C741" s="35"/>
      <c r="D741" s="35" t="s">
        <v>93</v>
      </c>
      <c r="E741" s="50"/>
      <c r="F741" s="37"/>
      <c r="G741" s="37"/>
      <c r="H741" s="37">
        <f>H740</f>
        <v>212.60039060709556</v>
      </c>
      <c r="I741" s="37">
        <f t="shared" ref="I741:M741" si="577">(I740-H740)</f>
        <v>348.89580519686643</v>
      </c>
      <c r="J741" s="37">
        <f t="shared" si="577"/>
        <v>430.12376401296126</v>
      </c>
      <c r="K741" s="37">
        <f t="shared" si="577"/>
        <v>932.56537718848563</v>
      </c>
      <c r="L741" s="37">
        <f t="shared" si="577"/>
        <v>1575.3167559773135</v>
      </c>
      <c r="M741" s="37">
        <f t="shared" si="577"/>
        <v>440.93383257665255</v>
      </c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3.5" customHeight="1" outlineLevel="1" x14ac:dyDescent="0.3">
      <c r="A742" s="35"/>
      <c r="B742" s="35"/>
      <c r="C742" s="35"/>
      <c r="D742" s="35"/>
      <c r="E742" s="37"/>
      <c r="F742" s="36"/>
      <c r="G742" s="36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3.5" customHeight="1" outlineLevel="1" x14ac:dyDescent="0.3">
      <c r="A743" s="170" t="s">
        <v>500</v>
      </c>
      <c r="B743" s="170"/>
      <c r="C743" s="170"/>
      <c r="D743" s="170" t="s">
        <v>93</v>
      </c>
      <c r="E743" s="157"/>
      <c r="F743" s="157"/>
      <c r="G743" s="157"/>
      <c r="H743" s="157">
        <f t="shared" ref="H743:M743" si="578">-(H729-H740)</f>
        <v>-142.23154929766633</v>
      </c>
      <c r="I743" s="157">
        <f t="shared" si="578"/>
        <v>-650.13588519603775</v>
      </c>
      <c r="J743" s="157">
        <f t="shared" si="578"/>
        <v>-1357.5128818770768</v>
      </c>
      <c r="K743" s="157">
        <f t="shared" si="578"/>
        <v>-2259.6713783220794</v>
      </c>
      <c r="L743" s="157">
        <f t="shared" si="578"/>
        <v>-3608.7960594418255</v>
      </c>
      <c r="M743" s="157">
        <f t="shared" si="578"/>
        <v>-3808.2930457249008</v>
      </c>
      <c r="N743" s="157"/>
      <c r="O743" s="157"/>
      <c r="P743" s="157"/>
      <c r="Q743" s="157"/>
      <c r="R743" s="157"/>
      <c r="S743" s="157"/>
      <c r="T743" s="157"/>
      <c r="U743" s="157"/>
      <c r="V743" s="157"/>
      <c r="W743" s="157"/>
      <c r="X743" s="157"/>
      <c r="Y743" s="157"/>
      <c r="Z743" s="157"/>
    </row>
    <row r="744" spans="1:26" ht="13.5" customHeight="1" outlineLevel="1" x14ac:dyDescent="0.3">
      <c r="A744" s="170" t="s">
        <v>513</v>
      </c>
      <c r="B744" s="170"/>
      <c r="C744" s="170"/>
      <c r="D744" s="170" t="s">
        <v>93</v>
      </c>
      <c r="E744" s="157"/>
      <c r="F744" s="157">
        <f>SUM(H744:L744)</f>
        <v>-3608.7960594418255</v>
      </c>
      <c r="G744" s="157"/>
      <c r="H744" s="157">
        <f>H743</f>
        <v>-142.23154929766633</v>
      </c>
      <c r="I744" s="157">
        <f t="shared" ref="I744:M744" si="579">I743-H743</f>
        <v>-507.90433589837141</v>
      </c>
      <c r="J744" s="157">
        <f t="shared" si="579"/>
        <v>-707.37699668103903</v>
      </c>
      <c r="K744" s="157">
        <f t="shared" si="579"/>
        <v>-902.15849644500258</v>
      </c>
      <c r="L744" s="157">
        <f t="shared" si="579"/>
        <v>-1349.1246811197461</v>
      </c>
      <c r="M744" s="157">
        <f t="shared" si="579"/>
        <v>-199.49698628307533</v>
      </c>
      <c r="N744" s="157"/>
      <c r="O744" s="157"/>
      <c r="P744" s="157"/>
      <c r="Q744" s="157"/>
      <c r="R744" s="157"/>
      <c r="S744" s="157"/>
      <c r="T744" s="157"/>
      <c r="U744" s="157"/>
      <c r="V744" s="157"/>
      <c r="W744" s="157"/>
      <c r="X744" s="157"/>
      <c r="Y744" s="157"/>
      <c r="Z744" s="157"/>
    </row>
    <row r="745" spans="1:26" ht="13.5" customHeight="1" outlineLevel="1" x14ac:dyDescent="0.3">
      <c r="A745" s="170"/>
      <c r="B745" s="170"/>
      <c r="C745" s="170"/>
      <c r="D745" s="170"/>
      <c r="E745" s="157"/>
      <c r="F745" s="157"/>
      <c r="G745" s="157"/>
      <c r="H745" s="157"/>
      <c r="I745" s="157"/>
      <c r="J745" s="157"/>
      <c r="K745" s="157"/>
      <c r="L745" s="157"/>
      <c r="M745" s="157"/>
      <c r="N745" s="157"/>
      <c r="O745" s="157"/>
      <c r="P745" s="157"/>
      <c r="Q745" s="157"/>
      <c r="R745" s="157"/>
      <c r="S745" s="157"/>
      <c r="T745" s="157"/>
      <c r="U745" s="157"/>
      <c r="V745" s="157"/>
      <c r="W745" s="157"/>
      <c r="X745" s="157"/>
      <c r="Y745" s="157"/>
      <c r="Z745" s="157"/>
    </row>
    <row r="746" spans="1:26" ht="13.5" customHeight="1" outlineLevel="1" x14ac:dyDescent="0.3">
      <c r="A746" s="35"/>
      <c r="B746" s="35"/>
      <c r="C746" s="35"/>
      <c r="D746" s="35"/>
      <c r="E746" s="37"/>
      <c r="F746" s="36"/>
      <c r="G746" s="36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3.5" customHeight="1" outlineLevel="1" x14ac:dyDescent="0.3">
      <c r="A747" s="64" t="s">
        <v>514</v>
      </c>
      <c r="B747" s="65"/>
      <c r="C747" s="65"/>
      <c r="D747" s="65"/>
      <c r="E747" s="66"/>
      <c r="F747" s="67"/>
      <c r="G747" s="67"/>
      <c r="H747" s="66"/>
      <c r="I747" s="66"/>
      <c r="J747" s="66"/>
      <c r="K747" s="66"/>
      <c r="L747" s="66"/>
      <c r="M747" s="66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3.5" customHeight="1" outlineLevel="1" x14ac:dyDescent="0.3">
      <c r="A748" s="152"/>
      <c r="B748" s="152"/>
      <c r="C748" s="152"/>
      <c r="D748" s="35"/>
      <c r="E748" s="36"/>
      <c r="F748" s="36" t="s">
        <v>163</v>
      </c>
      <c r="G748" s="36"/>
      <c r="H748" s="37" t="s">
        <v>81</v>
      </c>
      <c r="I748" s="37" t="s">
        <v>82</v>
      </c>
      <c r="J748" s="37" t="s">
        <v>83</v>
      </c>
      <c r="K748" s="37" t="s">
        <v>84</v>
      </c>
      <c r="L748" s="37" t="s">
        <v>85</v>
      </c>
      <c r="M748" s="37" t="s">
        <v>86</v>
      </c>
      <c r="N748" s="153"/>
      <c r="O748" s="153"/>
      <c r="P748" s="153"/>
      <c r="Q748" s="153"/>
      <c r="R748" s="153"/>
      <c r="S748" s="153"/>
      <c r="T748" s="153"/>
      <c r="U748" s="153"/>
      <c r="V748" s="153"/>
      <c r="W748" s="153"/>
      <c r="X748" s="153"/>
      <c r="Y748" s="153"/>
      <c r="Z748" s="153"/>
    </row>
    <row r="749" spans="1:26" ht="13.5" customHeight="1" outlineLevel="1" x14ac:dyDescent="0.3">
      <c r="A749" s="40" t="s">
        <v>515</v>
      </c>
      <c r="B749" s="39"/>
      <c r="C749" s="39"/>
      <c r="D749" s="40" t="str">
        <f>D$58</f>
        <v>Misura</v>
      </c>
      <c r="E749" s="39" t="s">
        <v>115</v>
      </c>
      <c r="F749" s="39" t="s">
        <v>142</v>
      </c>
      <c r="G749" s="39"/>
      <c r="H749" s="57">
        <f t="shared" ref="H749:M749" si="580">H$58</f>
        <v>2022</v>
      </c>
      <c r="I749" s="57">
        <f t="shared" si="580"/>
        <v>2023</v>
      </c>
      <c r="J749" s="57">
        <f t="shared" si="580"/>
        <v>2024</v>
      </c>
      <c r="K749" s="57">
        <f t="shared" si="580"/>
        <v>2025</v>
      </c>
      <c r="L749" s="57">
        <f t="shared" si="580"/>
        <v>2026</v>
      </c>
      <c r="M749" s="57">
        <f t="shared" si="580"/>
        <v>2027</v>
      </c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3.5" customHeight="1" outlineLevel="1" x14ac:dyDescent="0.3">
      <c r="A750" s="197" t="s">
        <v>516</v>
      </c>
      <c r="B750" s="197"/>
      <c r="C750" s="197"/>
      <c r="D750" s="197" t="s">
        <v>93</v>
      </c>
      <c r="E750" s="198"/>
      <c r="F750" s="36">
        <f t="shared" ref="F750:F754" si="581">SUM(H750:L750)</f>
        <v>24784.664862663369</v>
      </c>
      <c r="G750" s="36"/>
      <c r="H750" s="37">
        <f t="shared" ref="H750:M750" si="582">H860</f>
        <v>467.13394230152386</v>
      </c>
      <c r="I750" s="37">
        <f t="shared" si="582"/>
        <v>2109.7099351766424</v>
      </c>
      <c r="J750" s="37">
        <f t="shared" si="582"/>
        <v>3996.4725050703805</v>
      </c>
      <c r="K750" s="37">
        <f t="shared" si="582"/>
        <v>6790.6847852954434</v>
      </c>
      <c r="L750" s="37">
        <f t="shared" si="582"/>
        <v>11420.663694819377</v>
      </c>
      <c r="M750" s="37">
        <f t="shared" si="582"/>
        <v>12350.084428285458</v>
      </c>
      <c r="N750" s="198"/>
      <c r="O750" s="198"/>
      <c r="P750" s="198"/>
      <c r="Q750" s="198"/>
      <c r="R750" s="198"/>
      <c r="S750" s="198"/>
      <c r="T750" s="198"/>
      <c r="U750" s="198"/>
      <c r="V750" s="198"/>
      <c r="W750" s="198"/>
      <c r="X750" s="198"/>
      <c r="Y750" s="198"/>
      <c r="Z750" s="198"/>
    </row>
    <row r="751" spans="1:26" ht="13.5" customHeight="1" outlineLevel="1" x14ac:dyDescent="0.3">
      <c r="A751" s="197" t="s">
        <v>517</v>
      </c>
      <c r="B751" s="197"/>
      <c r="C751" s="197"/>
      <c r="D751" s="197" t="s">
        <v>93</v>
      </c>
      <c r="E751" s="198"/>
      <c r="F751" s="36">
        <f t="shared" si="581"/>
        <v>-3213.7898677037892</v>
      </c>
      <c r="G751" s="36"/>
      <c r="H751" s="37">
        <f t="shared" ref="H751:M751" si="583">H861+H862</f>
        <v>-201.55398623232526</v>
      </c>
      <c r="I751" s="37">
        <f t="shared" si="583"/>
        <v>-415.26947003880582</v>
      </c>
      <c r="J751" s="37">
        <f t="shared" si="583"/>
        <v>-718.1525815499981</v>
      </c>
      <c r="K751" s="37">
        <f t="shared" si="583"/>
        <v>-1064.4905257656367</v>
      </c>
      <c r="L751" s="37">
        <f t="shared" si="583"/>
        <v>-814.32330411702333</v>
      </c>
      <c r="M751" s="37">
        <f t="shared" si="583"/>
        <v>-89.163875858256915</v>
      </c>
      <c r="N751" s="198"/>
      <c r="O751" s="198"/>
      <c r="P751" s="198"/>
      <c r="Q751" s="198"/>
      <c r="R751" s="198"/>
      <c r="S751" s="198"/>
      <c r="T751" s="198"/>
      <c r="U751" s="198"/>
      <c r="V751" s="198"/>
      <c r="W751" s="198"/>
      <c r="X751" s="198"/>
      <c r="Y751" s="198"/>
      <c r="Z751" s="198"/>
    </row>
    <row r="752" spans="1:26" ht="13.5" customHeight="1" outlineLevel="1" x14ac:dyDescent="0.3">
      <c r="A752" s="197" t="s">
        <v>518</v>
      </c>
      <c r="B752" s="197"/>
      <c r="C752" s="197"/>
      <c r="D752" s="197" t="s">
        <v>93</v>
      </c>
      <c r="E752" s="198"/>
      <c r="F752" s="36">
        <f t="shared" si="581"/>
        <v>-4897.6992686682079</v>
      </c>
      <c r="G752" s="36"/>
      <c r="H752" s="37">
        <f t="shared" ref="H752:M752" si="584">H874</f>
        <v>-70.162776623542129</v>
      </c>
      <c r="I752" s="37">
        <f t="shared" si="584"/>
        <v>-400.18656654435097</v>
      </c>
      <c r="J752" s="37">
        <f t="shared" si="584"/>
        <v>-787.71463563138923</v>
      </c>
      <c r="K752" s="37">
        <f t="shared" si="584"/>
        <v>-1356.6603922932441</v>
      </c>
      <c r="L752" s="37">
        <f t="shared" si="584"/>
        <v>-2282.9748975756816</v>
      </c>
      <c r="M752" s="37">
        <f t="shared" si="584"/>
        <v>-2496.7416662728801</v>
      </c>
      <c r="N752" s="198"/>
      <c r="O752" s="198"/>
      <c r="P752" s="198"/>
      <c r="Q752" s="198"/>
      <c r="R752" s="198"/>
      <c r="S752" s="198"/>
      <c r="T752" s="198"/>
      <c r="U752" s="198"/>
      <c r="V752" s="198"/>
      <c r="W752" s="198"/>
      <c r="X752" s="198"/>
      <c r="Y752" s="198"/>
      <c r="Z752" s="198"/>
    </row>
    <row r="753" spans="1:26" ht="13.5" customHeight="1" outlineLevel="1" x14ac:dyDescent="0.3">
      <c r="A753" s="197" t="s">
        <v>519</v>
      </c>
      <c r="B753" s="197"/>
      <c r="C753" s="197"/>
      <c r="D753" s="197" t="s">
        <v>93</v>
      </c>
      <c r="E753" s="198"/>
      <c r="F753" s="36">
        <f t="shared" si="581"/>
        <v>-19163.326506020043</v>
      </c>
      <c r="G753" s="36"/>
      <c r="H753" s="37">
        <f t="shared" ref="H753:M753" si="585">H870</f>
        <v>-2060.3185393777644</v>
      </c>
      <c r="I753" s="37">
        <f t="shared" si="585"/>
        <v>-2653.0614550887576</v>
      </c>
      <c r="J753" s="37">
        <f t="shared" si="585"/>
        <v>-2595.8405051602067</v>
      </c>
      <c r="K753" s="37">
        <f t="shared" si="585"/>
        <v>-4121.3424746200262</v>
      </c>
      <c r="L753" s="37">
        <f t="shared" si="585"/>
        <v>-7732.7635317732866</v>
      </c>
      <c r="M753" s="37">
        <f t="shared" si="585"/>
        <v>-1396.4670954764651</v>
      </c>
      <c r="N753" s="198"/>
      <c r="O753" s="198"/>
      <c r="P753" s="198"/>
      <c r="Q753" s="198"/>
      <c r="R753" s="198"/>
      <c r="S753" s="198"/>
      <c r="T753" s="198"/>
      <c r="U753" s="198"/>
      <c r="V753" s="198"/>
      <c r="W753" s="198"/>
      <c r="X753" s="198"/>
      <c r="Y753" s="198"/>
      <c r="Z753" s="198"/>
    </row>
    <row r="754" spans="1:26" ht="13.5" customHeight="1" outlineLevel="1" x14ac:dyDescent="0.3">
      <c r="A754" s="167" t="s">
        <v>520</v>
      </c>
      <c r="B754" s="167"/>
      <c r="C754" s="167"/>
      <c r="D754" s="167" t="s">
        <v>93</v>
      </c>
      <c r="E754" s="36"/>
      <c r="F754" s="36">
        <f t="shared" si="581"/>
        <v>-2490.1507797286708</v>
      </c>
      <c r="G754" s="36"/>
      <c r="H754" s="36">
        <f t="shared" ref="H754:M754" si="586">SUM(H750:H753)</f>
        <v>-1864.9013599321079</v>
      </c>
      <c r="I754" s="36">
        <f t="shared" si="586"/>
        <v>-1358.8075564952719</v>
      </c>
      <c r="J754" s="36">
        <f t="shared" si="586"/>
        <v>-105.23521727121351</v>
      </c>
      <c r="K754" s="36">
        <f t="shared" si="586"/>
        <v>248.19139261653709</v>
      </c>
      <c r="L754" s="36">
        <f t="shared" si="586"/>
        <v>590.60196135338538</v>
      </c>
      <c r="M754" s="36">
        <f t="shared" si="586"/>
        <v>8367.7117906778549</v>
      </c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3.5" customHeight="1" outlineLevel="1" x14ac:dyDescent="0.3">
      <c r="A755" s="35"/>
      <c r="B755" s="35"/>
      <c r="C755" s="35"/>
      <c r="D755" s="35"/>
      <c r="E755" s="37"/>
      <c r="F755" s="36"/>
      <c r="G755" s="36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3.5" customHeight="1" outlineLevel="1" x14ac:dyDescent="0.3">
      <c r="A756" s="167" t="s">
        <v>521</v>
      </c>
      <c r="B756" s="167"/>
      <c r="C756" s="167"/>
      <c r="D756" s="167" t="s">
        <v>93</v>
      </c>
      <c r="E756" s="36"/>
      <c r="F756" s="36">
        <f>SUM(H756:L756)</f>
        <v>1639.3721910073423</v>
      </c>
      <c r="G756" s="36"/>
      <c r="H756" s="36">
        <f t="shared" ref="H756:M756" si="587">H690</f>
        <v>75.601392096621566</v>
      </c>
      <c r="I756" s="36">
        <f t="shared" si="587"/>
        <v>172.9529110433831</v>
      </c>
      <c r="J756" s="36">
        <f t="shared" si="587"/>
        <v>268.20476268675958</v>
      </c>
      <c r="K756" s="36">
        <f t="shared" si="587"/>
        <v>419.43343069763381</v>
      </c>
      <c r="L756" s="36">
        <f t="shared" si="587"/>
        <v>703.17969448294423</v>
      </c>
      <c r="M756" s="36">
        <f t="shared" si="587"/>
        <v>703.17969448294423</v>
      </c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3.5" customHeight="1" outlineLevel="1" x14ac:dyDescent="0.3">
      <c r="A757" s="35"/>
      <c r="B757" s="35"/>
      <c r="C757" s="35"/>
      <c r="D757" s="35"/>
      <c r="E757" s="37"/>
      <c r="F757" s="36"/>
      <c r="G757" s="36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3.5" customHeight="1" outlineLevel="1" x14ac:dyDescent="0.3">
      <c r="A758" s="199" t="s">
        <v>522</v>
      </c>
      <c r="B758" s="199"/>
      <c r="C758" s="199"/>
      <c r="D758" s="199" t="s">
        <v>523</v>
      </c>
      <c r="E758" s="200"/>
      <c r="F758" s="200"/>
      <c r="G758" s="200"/>
      <c r="H758" s="200">
        <f t="shared" ref="H758:M758" si="588">IF(ROUND(H756,3)&lt;&gt;0,H754/H756,"n/a")</f>
        <v>-24.667553178765417</v>
      </c>
      <c r="I758" s="200">
        <f t="shared" si="588"/>
        <v>-7.8565174086860665</v>
      </c>
      <c r="J758" s="200">
        <f t="shared" si="588"/>
        <v>-0.39236893564831782</v>
      </c>
      <c r="K758" s="200">
        <f t="shared" si="588"/>
        <v>0.59173011603706971</v>
      </c>
      <c r="L758" s="200">
        <f t="shared" si="588"/>
        <v>0.83990189988017427</v>
      </c>
      <c r="M758" s="200">
        <f t="shared" si="588"/>
        <v>11.899819998116875</v>
      </c>
      <c r="N758" s="201"/>
      <c r="O758" s="201"/>
      <c r="P758" s="201"/>
      <c r="Q758" s="201"/>
      <c r="R758" s="201"/>
      <c r="S758" s="201"/>
      <c r="T758" s="201"/>
      <c r="U758" s="201"/>
      <c r="V758" s="201"/>
      <c r="W758" s="201"/>
      <c r="X758" s="201"/>
      <c r="Y758" s="201"/>
      <c r="Z758" s="201"/>
    </row>
    <row r="759" spans="1:26" ht="13.5" customHeight="1" outlineLevel="1" x14ac:dyDescent="0.3">
      <c r="A759" s="202"/>
      <c r="B759" s="202"/>
      <c r="C759" s="202"/>
      <c r="D759" s="202"/>
      <c r="E759" s="201"/>
      <c r="F759" s="201"/>
      <c r="G759" s="201"/>
      <c r="H759" s="86"/>
      <c r="I759" s="86"/>
      <c r="J759" s="86"/>
      <c r="K759" s="86"/>
      <c r="L759" s="86"/>
      <c r="M759" s="86"/>
      <c r="N759" s="201"/>
      <c r="O759" s="201"/>
      <c r="P759" s="201"/>
      <c r="Q759" s="201"/>
      <c r="R759" s="201"/>
      <c r="S759" s="201"/>
      <c r="T759" s="201"/>
      <c r="U759" s="201"/>
      <c r="V759" s="201"/>
      <c r="W759" s="201"/>
      <c r="X759" s="201"/>
      <c r="Y759" s="201"/>
      <c r="Z759" s="201"/>
    </row>
    <row r="760" spans="1:26" ht="13.5" customHeight="1" outlineLevel="1" x14ac:dyDescent="0.3">
      <c r="A760" s="202"/>
      <c r="B760" s="202"/>
      <c r="C760" s="202"/>
      <c r="D760" s="202"/>
      <c r="E760" s="201"/>
      <c r="F760" s="201"/>
      <c r="G760" s="201"/>
      <c r="H760" s="86"/>
      <c r="I760" s="86"/>
      <c r="J760" s="86"/>
      <c r="K760" s="86"/>
      <c r="L760" s="86"/>
      <c r="M760" s="86"/>
      <c r="N760" s="201"/>
      <c r="O760" s="201"/>
      <c r="P760" s="201"/>
      <c r="Q760" s="201"/>
      <c r="R760" s="201"/>
      <c r="S760" s="201"/>
      <c r="T760" s="201"/>
      <c r="U760" s="201"/>
      <c r="V760" s="201"/>
      <c r="W760" s="201"/>
      <c r="X760" s="201"/>
      <c r="Y760" s="201"/>
      <c r="Z760" s="201"/>
    </row>
    <row r="761" spans="1:26" ht="13.5" customHeight="1" outlineLevel="1" x14ac:dyDescent="0.3">
      <c r="A761" s="94"/>
      <c r="B761" s="94"/>
      <c r="C761" s="94"/>
      <c r="D761" s="94"/>
      <c r="E761" s="95"/>
      <c r="F761" s="96"/>
      <c r="G761" s="96"/>
      <c r="H761" s="95"/>
      <c r="I761" s="95"/>
      <c r="J761" s="95"/>
      <c r="K761" s="95"/>
      <c r="L761" s="95"/>
      <c r="M761" s="95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3.5" customHeight="1" outlineLevel="1" x14ac:dyDescent="0.3">
      <c r="A762" s="35"/>
      <c r="B762" s="35"/>
      <c r="C762" s="35"/>
      <c r="D762" s="35"/>
      <c r="E762" s="37"/>
      <c r="F762" s="36"/>
      <c r="G762" s="36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3.5" customHeight="1" outlineLevel="1" x14ac:dyDescent="0.3">
      <c r="A763" s="64" t="s">
        <v>524</v>
      </c>
      <c r="B763" s="65"/>
      <c r="C763" s="65"/>
      <c r="D763" s="65"/>
      <c r="E763" s="66"/>
      <c r="F763" s="67"/>
      <c r="G763" s="67"/>
      <c r="H763" s="66"/>
      <c r="I763" s="66"/>
      <c r="J763" s="66"/>
      <c r="K763" s="66"/>
      <c r="L763" s="66"/>
      <c r="M763" s="66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3.5" customHeight="1" outlineLevel="1" x14ac:dyDescent="0.3">
      <c r="A764" s="152"/>
      <c r="B764" s="152"/>
      <c r="C764" s="152"/>
      <c r="D764" s="35"/>
      <c r="E764" s="36"/>
      <c r="F764" s="36" t="s">
        <v>163</v>
      </c>
      <c r="G764" s="36"/>
      <c r="H764" s="37" t="s">
        <v>81</v>
      </c>
      <c r="I764" s="37" t="s">
        <v>82</v>
      </c>
      <c r="J764" s="37" t="s">
        <v>83</v>
      </c>
      <c r="K764" s="37" t="s">
        <v>84</v>
      </c>
      <c r="L764" s="37" t="s">
        <v>85</v>
      </c>
      <c r="M764" s="37" t="s">
        <v>86</v>
      </c>
      <c r="N764" s="153"/>
      <c r="O764" s="153"/>
      <c r="P764" s="153"/>
      <c r="Q764" s="153"/>
      <c r="R764" s="153"/>
      <c r="S764" s="153"/>
      <c r="T764" s="153"/>
      <c r="U764" s="153"/>
      <c r="V764" s="153"/>
      <c r="W764" s="153"/>
      <c r="X764" s="153"/>
      <c r="Y764" s="153"/>
      <c r="Z764" s="153"/>
    </row>
    <row r="765" spans="1:26" ht="13.5" customHeight="1" outlineLevel="1" x14ac:dyDescent="0.3">
      <c r="A765" s="40"/>
      <c r="B765" s="39"/>
      <c r="C765" s="39"/>
      <c r="D765" s="40" t="str">
        <f>D$58</f>
        <v>Misura</v>
      </c>
      <c r="E765" s="39" t="s">
        <v>115</v>
      </c>
      <c r="F765" s="39" t="s">
        <v>142</v>
      </c>
      <c r="G765" s="39"/>
      <c r="H765" s="57">
        <f t="shared" ref="H765:M765" si="589">H$58</f>
        <v>2022</v>
      </c>
      <c r="I765" s="57">
        <f t="shared" si="589"/>
        <v>2023</v>
      </c>
      <c r="J765" s="57">
        <f t="shared" si="589"/>
        <v>2024</v>
      </c>
      <c r="K765" s="57">
        <f t="shared" si="589"/>
        <v>2025</v>
      </c>
      <c r="L765" s="57">
        <f t="shared" si="589"/>
        <v>2026</v>
      </c>
      <c r="M765" s="57">
        <f t="shared" si="589"/>
        <v>2027</v>
      </c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3.5" customHeight="1" outlineLevel="1" x14ac:dyDescent="0.3">
      <c r="A766" s="43" t="s">
        <v>520</v>
      </c>
      <c r="B766" s="43"/>
      <c r="C766" s="43"/>
      <c r="D766" s="43" t="s">
        <v>93</v>
      </c>
      <c r="E766" s="46"/>
      <c r="F766" s="45">
        <f t="shared" ref="F766:F768" si="590">SUM(H766:L766)</f>
        <v>-2490.1507797286708</v>
      </c>
      <c r="G766" s="45"/>
      <c r="H766" s="37">
        <f t="shared" ref="H766:M766" si="591">H754</f>
        <v>-1864.9013599321079</v>
      </c>
      <c r="I766" s="37">
        <f t="shared" si="591"/>
        <v>-1358.8075564952719</v>
      </c>
      <c r="J766" s="37">
        <f t="shared" si="591"/>
        <v>-105.23521727121351</v>
      </c>
      <c r="K766" s="37">
        <f t="shared" si="591"/>
        <v>248.19139261653709</v>
      </c>
      <c r="L766" s="37">
        <f t="shared" si="591"/>
        <v>590.60196135338538</v>
      </c>
      <c r="M766" s="37">
        <f t="shared" si="591"/>
        <v>8367.7117906778549</v>
      </c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3.5" customHeight="1" outlineLevel="1" x14ac:dyDescent="0.3">
      <c r="A767" s="43" t="s">
        <v>521</v>
      </c>
      <c r="B767" s="43"/>
      <c r="C767" s="43"/>
      <c r="D767" s="43" t="s">
        <v>93</v>
      </c>
      <c r="E767" s="46"/>
      <c r="F767" s="45">
        <f t="shared" si="590"/>
        <v>1639.3721910073423</v>
      </c>
      <c r="G767" s="45"/>
      <c r="H767" s="37">
        <f t="shared" ref="H767:M767" si="592">H756</f>
        <v>75.601392096621566</v>
      </c>
      <c r="I767" s="37">
        <f t="shared" si="592"/>
        <v>172.9529110433831</v>
      </c>
      <c r="J767" s="37">
        <f t="shared" si="592"/>
        <v>268.20476268675958</v>
      </c>
      <c r="K767" s="37">
        <f t="shared" si="592"/>
        <v>419.43343069763381</v>
      </c>
      <c r="L767" s="37">
        <f t="shared" si="592"/>
        <v>703.17969448294423</v>
      </c>
      <c r="M767" s="37">
        <f t="shared" si="592"/>
        <v>703.17969448294423</v>
      </c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3.5" customHeight="1" outlineLevel="1" x14ac:dyDescent="0.3">
      <c r="A768" s="43" t="s">
        <v>525</v>
      </c>
      <c r="B768" s="43"/>
      <c r="C768" s="43"/>
      <c r="D768" s="43" t="s">
        <v>93</v>
      </c>
      <c r="E768" s="46"/>
      <c r="F768" s="45">
        <f t="shared" si="590"/>
        <v>0</v>
      </c>
      <c r="G768" s="45"/>
      <c r="H768" s="37">
        <f t="shared" ref="H768:M768" si="593">IF((H766-H767)&gt;0,H766-H767,0)</f>
        <v>0</v>
      </c>
      <c r="I768" s="37">
        <f t="shared" si="593"/>
        <v>0</v>
      </c>
      <c r="J768" s="37">
        <f t="shared" si="593"/>
        <v>0</v>
      </c>
      <c r="K768" s="37">
        <f t="shared" si="593"/>
        <v>0</v>
      </c>
      <c r="L768" s="37">
        <f t="shared" si="593"/>
        <v>0</v>
      </c>
      <c r="M768" s="37">
        <f t="shared" si="593"/>
        <v>7664.532096194911</v>
      </c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3.5" customHeight="1" outlineLevel="1" x14ac:dyDescent="0.3">
      <c r="A769" s="63" t="s">
        <v>526</v>
      </c>
      <c r="B769" s="63"/>
      <c r="C769" s="63"/>
      <c r="D769" s="63" t="s">
        <v>93</v>
      </c>
      <c r="E769" s="45"/>
      <c r="F769" s="45"/>
      <c r="G769" s="45"/>
      <c r="H769" s="45">
        <f>E769+H768</f>
        <v>0</v>
      </c>
      <c r="I769" s="45">
        <f t="shared" ref="I769:M769" si="594">H769+I768</f>
        <v>0</v>
      </c>
      <c r="J769" s="45">
        <f t="shared" si="594"/>
        <v>0</v>
      </c>
      <c r="K769" s="45">
        <f t="shared" si="594"/>
        <v>0</v>
      </c>
      <c r="L769" s="45">
        <f t="shared" si="594"/>
        <v>0</v>
      </c>
      <c r="M769" s="45">
        <f t="shared" si="594"/>
        <v>7664.532096194911</v>
      </c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3.5" customHeight="1" outlineLevel="1" x14ac:dyDescent="0.3">
      <c r="A770" s="43"/>
      <c r="B770" s="43"/>
      <c r="C770" s="43"/>
      <c r="D770" s="43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3.5" customHeight="1" outlineLevel="1" x14ac:dyDescent="0.3">
      <c r="A771" s="43" t="s">
        <v>527</v>
      </c>
      <c r="B771" s="43"/>
      <c r="C771" s="43"/>
      <c r="D771" s="43" t="s">
        <v>93</v>
      </c>
      <c r="E771" s="46"/>
      <c r="F771" s="45">
        <f>SUM(H771:L771)</f>
        <v>16396.645377715304</v>
      </c>
      <c r="G771" s="45"/>
      <c r="H771" s="37">
        <f t="shared" ref="H771:M771" si="595">H716</f>
        <v>234.89277391359758</v>
      </c>
      <c r="I771" s="37">
        <f t="shared" si="595"/>
        <v>1339.7550271267401</v>
      </c>
      <c r="J771" s="37">
        <f t="shared" si="595"/>
        <v>2637.1316062442156</v>
      </c>
      <c r="K771" s="37">
        <f t="shared" si="595"/>
        <v>4541.8630524599903</v>
      </c>
      <c r="L771" s="37">
        <f t="shared" si="595"/>
        <v>7643.0029179707599</v>
      </c>
      <c r="M771" s="37">
        <f t="shared" si="595"/>
        <v>8358.6568827396404</v>
      </c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3.5" customHeight="1" outlineLevel="1" x14ac:dyDescent="0.3">
      <c r="A772" s="63" t="s">
        <v>528</v>
      </c>
      <c r="B772" s="63"/>
      <c r="C772" s="63"/>
      <c r="D772" s="63" t="s">
        <v>93</v>
      </c>
      <c r="E772" s="45"/>
      <c r="F772" s="45"/>
      <c r="G772" s="45"/>
      <c r="H772" s="36">
        <f>E772+H771</f>
        <v>234.89277391359758</v>
      </c>
      <c r="I772" s="36">
        <f t="shared" ref="I772:M772" si="596">H772+I771</f>
        <v>1574.6478010403375</v>
      </c>
      <c r="J772" s="36">
        <f t="shared" si="596"/>
        <v>4211.7794072845536</v>
      </c>
      <c r="K772" s="36">
        <f t="shared" si="596"/>
        <v>8753.6424597445439</v>
      </c>
      <c r="L772" s="36">
        <f t="shared" si="596"/>
        <v>16396.645377715304</v>
      </c>
      <c r="M772" s="36">
        <f t="shared" si="596"/>
        <v>24755.302260454944</v>
      </c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3.5" customHeight="1" outlineLevel="1" x14ac:dyDescent="0.3">
      <c r="A773" s="43"/>
      <c r="B773" s="43"/>
      <c r="C773" s="43"/>
      <c r="D773" s="43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3.5" customHeight="1" outlineLevel="1" x14ac:dyDescent="0.3">
      <c r="A774" s="63" t="s">
        <v>529</v>
      </c>
      <c r="B774" s="63"/>
      <c r="C774" s="63"/>
      <c r="D774" s="63" t="s">
        <v>93</v>
      </c>
      <c r="E774" s="45"/>
      <c r="F774" s="45"/>
      <c r="G774" s="45"/>
      <c r="H774" s="36">
        <f t="shared" ref="H774:M774" si="597">IF(H769&lt;=H772,H769,H772)</f>
        <v>0</v>
      </c>
      <c r="I774" s="36">
        <f t="shared" si="597"/>
        <v>0</v>
      </c>
      <c r="J774" s="36">
        <f t="shared" si="597"/>
        <v>0</v>
      </c>
      <c r="K774" s="36">
        <f t="shared" si="597"/>
        <v>0</v>
      </c>
      <c r="L774" s="36">
        <f t="shared" si="597"/>
        <v>0</v>
      </c>
      <c r="M774" s="36">
        <f t="shared" si="597"/>
        <v>7664.532096194911</v>
      </c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3.5" customHeight="1" outlineLevel="1" x14ac:dyDescent="0.3">
      <c r="A775" s="63"/>
      <c r="B775" s="63"/>
      <c r="C775" s="63"/>
      <c r="D775" s="63"/>
      <c r="E775" s="45"/>
      <c r="F775" s="45"/>
      <c r="G775" s="45"/>
      <c r="H775" s="36"/>
      <c r="I775" s="36"/>
      <c r="J775" s="36"/>
      <c r="K775" s="36"/>
      <c r="L775" s="36"/>
      <c r="M775" s="36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3.5" customHeight="1" outlineLevel="1" x14ac:dyDescent="0.3">
      <c r="A776" s="63"/>
      <c r="B776" s="63"/>
      <c r="C776" s="63"/>
      <c r="D776" s="63"/>
      <c r="E776" s="45"/>
      <c r="F776" s="45"/>
      <c r="G776" s="45"/>
      <c r="H776" s="36"/>
      <c r="I776" s="36"/>
      <c r="J776" s="36"/>
      <c r="K776" s="36"/>
      <c r="L776" s="36"/>
      <c r="M776" s="36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3.5" customHeight="1" outlineLevel="1" x14ac:dyDescent="0.3">
      <c r="A777" s="63"/>
      <c r="B777" s="63"/>
      <c r="C777" s="63"/>
      <c r="D777" s="63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3.5" customHeight="1" outlineLevel="1" x14ac:dyDescent="0.3">
      <c r="A778" s="43" t="s">
        <v>530</v>
      </c>
      <c r="B778" s="43"/>
      <c r="C778" s="43"/>
      <c r="D778" s="43" t="s">
        <v>108</v>
      </c>
      <c r="E778" s="46"/>
      <c r="F778" s="46"/>
      <c r="G778" s="46"/>
      <c r="H778" s="46"/>
      <c r="I778" s="101">
        <v>1</v>
      </c>
      <c r="J778" s="81">
        <f t="shared" ref="J778:M778" si="598">I778</f>
        <v>1</v>
      </c>
      <c r="K778" s="81">
        <f t="shared" si="598"/>
        <v>1</v>
      </c>
      <c r="L778" s="81">
        <f t="shared" si="598"/>
        <v>1</v>
      </c>
      <c r="M778" s="81">
        <f t="shared" si="598"/>
        <v>1</v>
      </c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3.5" customHeight="1" outlineLevel="1" x14ac:dyDescent="0.3">
      <c r="A779" s="63" t="s">
        <v>531</v>
      </c>
      <c r="B779" s="63"/>
      <c r="C779" s="63"/>
      <c r="D779" s="63" t="s">
        <v>93</v>
      </c>
      <c r="E779" s="203"/>
      <c r="F779" s="45"/>
      <c r="G779" s="45"/>
      <c r="H779" s="45"/>
      <c r="I779" s="45">
        <f t="shared" ref="I779:M779" si="599">IF(H774&gt;0,H774,0)*I778</f>
        <v>0</v>
      </c>
      <c r="J779" s="45">
        <f t="shared" si="599"/>
        <v>0</v>
      </c>
      <c r="K779" s="45">
        <f t="shared" si="599"/>
        <v>0</v>
      </c>
      <c r="L779" s="45">
        <f t="shared" si="599"/>
        <v>0</v>
      </c>
      <c r="M779" s="45">
        <f t="shared" si="599"/>
        <v>0</v>
      </c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3.5" customHeight="1" outlineLevel="1" x14ac:dyDescent="0.3">
      <c r="A780" s="47" t="s">
        <v>532</v>
      </c>
      <c r="B780" s="47"/>
      <c r="C780" s="47"/>
      <c r="D780" s="47" t="s">
        <v>93</v>
      </c>
      <c r="E780" s="204"/>
      <c r="F780" s="51">
        <f>SUM(H780:L780)</f>
        <v>0</v>
      </c>
      <c r="G780" s="51"/>
      <c r="H780" s="51"/>
      <c r="I780" s="51">
        <f t="shared" ref="I780:M780" si="600">I779-H779</f>
        <v>0</v>
      </c>
      <c r="J780" s="51">
        <f t="shared" si="600"/>
        <v>0</v>
      </c>
      <c r="K780" s="51">
        <f t="shared" si="600"/>
        <v>0</v>
      </c>
      <c r="L780" s="51">
        <f t="shared" si="600"/>
        <v>0</v>
      </c>
      <c r="M780" s="51">
        <f t="shared" si="600"/>
        <v>0</v>
      </c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3.5" customHeight="1" outlineLevel="1" x14ac:dyDescent="0.3">
      <c r="A781" s="43"/>
      <c r="B781" s="43"/>
      <c r="C781" s="43"/>
      <c r="D781" s="43"/>
      <c r="E781" s="46"/>
      <c r="F781" s="45"/>
      <c r="G781" s="45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3.5" customHeight="1" outlineLevel="1" x14ac:dyDescent="0.3">
      <c r="A782" s="202"/>
      <c r="B782" s="202"/>
      <c r="C782" s="202"/>
      <c r="D782" s="202"/>
      <c r="E782" s="201"/>
      <c r="F782" s="201"/>
      <c r="G782" s="201"/>
      <c r="H782" s="201"/>
      <c r="I782" s="201"/>
      <c r="J782" s="201"/>
      <c r="K782" s="201"/>
      <c r="L782" s="201"/>
      <c r="M782" s="201"/>
      <c r="N782" s="201"/>
      <c r="O782" s="201"/>
      <c r="P782" s="201"/>
      <c r="Q782" s="201"/>
      <c r="R782" s="201"/>
      <c r="S782" s="201"/>
      <c r="T782" s="201"/>
      <c r="U782" s="201"/>
      <c r="V782" s="201"/>
      <c r="W782" s="201"/>
      <c r="X782" s="201"/>
      <c r="Y782" s="201"/>
      <c r="Z782" s="201"/>
    </row>
    <row r="783" spans="1:26" ht="13.5" customHeight="1" outlineLevel="1" x14ac:dyDescent="0.3">
      <c r="A783" s="94"/>
      <c r="B783" s="94"/>
      <c r="C783" s="94"/>
      <c r="D783" s="94"/>
      <c r="E783" s="95"/>
      <c r="F783" s="96"/>
      <c r="G783" s="96"/>
      <c r="H783" s="95"/>
      <c r="I783" s="95"/>
      <c r="J783" s="95"/>
      <c r="K783" s="95"/>
      <c r="L783" s="95"/>
      <c r="M783" s="95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3.5" customHeight="1" outlineLevel="1" x14ac:dyDescent="0.3">
      <c r="A784" s="35"/>
      <c r="B784" s="35"/>
      <c r="C784" s="35"/>
      <c r="D784" s="35"/>
      <c r="E784" s="37"/>
      <c r="F784" s="36"/>
      <c r="G784" s="36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3.5" customHeight="1" outlineLevel="1" x14ac:dyDescent="0.3">
      <c r="A785" s="64" t="s">
        <v>533</v>
      </c>
      <c r="B785" s="65"/>
      <c r="C785" s="65"/>
      <c r="D785" s="65"/>
      <c r="E785" s="66"/>
      <c r="F785" s="67"/>
      <c r="G785" s="67"/>
      <c r="H785" s="66"/>
      <c r="I785" s="66"/>
      <c r="J785" s="66"/>
      <c r="K785" s="66"/>
      <c r="L785" s="66"/>
      <c r="M785" s="66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3.5" customHeight="1" outlineLevel="1" x14ac:dyDescent="0.3">
      <c r="A786" s="152"/>
      <c r="B786" s="152"/>
      <c r="C786" s="152"/>
      <c r="D786" s="35"/>
      <c r="E786" s="36"/>
      <c r="F786" s="37" t="s">
        <v>166</v>
      </c>
      <c r="G786" s="37"/>
      <c r="H786" s="37" t="s">
        <v>81</v>
      </c>
      <c r="I786" s="37" t="s">
        <v>82</v>
      </c>
      <c r="J786" s="37" t="s">
        <v>83</v>
      </c>
      <c r="K786" s="37" t="s">
        <v>84</v>
      </c>
      <c r="L786" s="37" t="s">
        <v>85</v>
      </c>
      <c r="M786" s="37" t="s">
        <v>86</v>
      </c>
      <c r="N786" s="153"/>
      <c r="O786" s="153"/>
      <c r="P786" s="153"/>
      <c r="Q786" s="153"/>
      <c r="R786" s="153"/>
      <c r="S786" s="153"/>
      <c r="T786" s="153"/>
      <c r="U786" s="153"/>
      <c r="V786" s="153"/>
      <c r="W786" s="153"/>
      <c r="X786" s="153"/>
      <c r="Y786" s="153"/>
      <c r="Z786" s="153"/>
    </row>
    <row r="787" spans="1:26" ht="13.5" customHeight="1" outlineLevel="1" x14ac:dyDescent="0.3">
      <c r="A787" s="40" t="s">
        <v>534</v>
      </c>
      <c r="B787" s="39"/>
      <c r="C787" s="39"/>
      <c r="D787" s="40" t="str">
        <f>D$58</f>
        <v>Misura</v>
      </c>
      <c r="E787" s="39" t="s">
        <v>115</v>
      </c>
      <c r="F787" s="57">
        <f>H787-1</f>
        <v>2021</v>
      </c>
      <c r="G787" s="57"/>
      <c r="H787" s="57">
        <f t="shared" ref="H787:M787" si="601">H$58</f>
        <v>2022</v>
      </c>
      <c r="I787" s="57">
        <f t="shared" si="601"/>
        <v>2023</v>
      </c>
      <c r="J787" s="57">
        <f t="shared" si="601"/>
        <v>2024</v>
      </c>
      <c r="K787" s="57">
        <f t="shared" si="601"/>
        <v>2025</v>
      </c>
      <c r="L787" s="57">
        <f t="shared" si="601"/>
        <v>2026</v>
      </c>
      <c r="M787" s="57">
        <f t="shared" si="601"/>
        <v>2027</v>
      </c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3.5" customHeight="1" outlineLevel="1" x14ac:dyDescent="0.3">
      <c r="A788" s="35" t="s">
        <v>535</v>
      </c>
      <c r="B788" s="35"/>
      <c r="C788" s="35"/>
      <c r="D788" s="43" t="s">
        <v>93</v>
      </c>
      <c r="E788" s="37"/>
      <c r="F788" s="205">
        <v>0</v>
      </c>
      <c r="G788" s="205"/>
      <c r="H788" s="37">
        <f t="shared" ref="H788:M788" si="602">H563+H568</f>
        <v>1922.9639700859134</v>
      </c>
      <c r="I788" s="37">
        <f t="shared" si="602"/>
        <v>4261.8000922102365</v>
      </c>
      <c r="J788" s="37">
        <f t="shared" si="602"/>
        <v>6370.3592307286617</v>
      </c>
      <c r="K788" s="37">
        <f t="shared" si="602"/>
        <v>9729.664173732237</v>
      </c>
      <c r="L788" s="37">
        <f t="shared" si="602"/>
        <v>16184.872605104189</v>
      </c>
      <c r="M788" s="37">
        <f t="shared" si="602"/>
        <v>16303.784600179319</v>
      </c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3.5" customHeight="1" outlineLevel="1" x14ac:dyDescent="0.3">
      <c r="A789" s="35" t="s">
        <v>536</v>
      </c>
      <c r="B789" s="35"/>
      <c r="C789" s="35"/>
      <c r="D789" s="43" t="s">
        <v>93</v>
      </c>
      <c r="E789" s="37"/>
      <c r="F789" s="37">
        <f>F610</f>
        <v>0</v>
      </c>
      <c r="G789" s="37"/>
      <c r="H789" s="37">
        <f t="shared" ref="H789:M789" si="603">H604+H610</f>
        <v>0</v>
      </c>
      <c r="I789" s="37">
        <f t="shared" si="603"/>
        <v>0</v>
      </c>
      <c r="J789" s="37">
        <f t="shared" si="603"/>
        <v>0</v>
      </c>
      <c r="K789" s="37">
        <f t="shared" si="603"/>
        <v>0</v>
      </c>
      <c r="L789" s="37">
        <f t="shared" si="603"/>
        <v>0</v>
      </c>
      <c r="M789" s="37">
        <f t="shared" si="603"/>
        <v>0</v>
      </c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3.5" customHeight="1" outlineLevel="1" x14ac:dyDescent="0.3">
      <c r="A790" s="35" t="s">
        <v>537</v>
      </c>
      <c r="B790" s="35"/>
      <c r="C790" s="35"/>
      <c r="D790" s="43" t="s">
        <v>93</v>
      </c>
      <c r="E790" s="37"/>
      <c r="F790" s="37">
        <f>F609</f>
        <v>0</v>
      </c>
      <c r="G790" s="37"/>
      <c r="H790" s="37">
        <f t="shared" ref="H790:M790" si="604">H603+H609</f>
        <v>0</v>
      </c>
      <c r="I790" s="37">
        <f t="shared" si="604"/>
        <v>0</v>
      </c>
      <c r="J790" s="37">
        <f t="shared" si="604"/>
        <v>0</v>
      </c>
      <c r="K790" s="37">
        <f t="shared" si="604"/>
        <v>0</v>
      </c>
      <c r="L790" s="37">
        <f t="shared" si="604"/>
        <v>0</v>
      </c>
      <c r="M790" s="37">
        <f t="shared" si="604"/>
        <v>0</v>
      </c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3.5" customHeight="1" outlineLevel="1" x14ac:dyDescent="0.3">
      <c r="A791" s="167" t="s">
        <v>538</v>
      </c>
      <c r="B791" s="167"/>
      <c r="C791" s="167"/>
      <c r="D791" s="63" t="s">
        <v>93</v>
      </c>
      <c r="E791" s="36"/>
      <c r="F791" s="36">
        <f>SUM(F788:F790)</f>
        <v>0</v>
      </c>
      <c r="G791" s="36"/>
      <c r="H791" s="36">
        <f t="shared" ref="H791:M791" si="605">SUM(H788:H790)</f>
        <v>1922.9639700859134</v>
      </c>
      <c r="I791" s="36">
        <f t="shared" si="605"/>
        <v>4261.8000922102365</v>
      </c>
      <c r="J791" s="36">
        <f t="shared" si="605"/>
        <v>6370.3592307286617</v>
      </c>
      <c r="K791" s="36">
        <f t="shared" si="605"/>
        <v>9729.664173732237</v>
      </c>
      <c r="L791" s="36">
        <f t="shared" si="605"/>
        <v>16184.872605104189</v>
      </c>
      <c r="M791" s="36">
        <f t="shared" si="605"/>
        <v>16303.784600179319</v>
      </c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3.5" customHeight="1" outlineLevel="1" x14ac:dyDescent="0.3">
      <c r="A792" s="206" t="s">
        <v>539</v>
      </c>
      <c r="B792" s="35"/>
      <c r="C792" s="35"/>
      <c r="D792" s="43" t="s">
        <v>93</v>
      </c>
      <c r="E792" s="37"/>
      <c r="F792" s="37">
        <f>F229</f>
        <v>80</v>
      </c>
      <c r="G792" s="37"/>
      <c r="H792" s="37">
        <f t="shared" ref="H792:M792" si="606">H229</f>
        <v>232.25558392857147</v>
      </c>
      <c r="I792" s="37">
        <f t="shared" si="606"/>
        <v>524.87769317499999</v>
      </c>
      <c r="J792" s="37">
        <f t="shared" si="606"/>
        <v>997.41528490877488</v>
      </c>
      <c r="K792" s="37">
        <f t="shared" si="606"/>
        <v>1836.1292447579308</v>
      </c>
      <c r="L792" s="37">
        <f t="shared" si="606"/>
        <v>2367.1376143816451</v>
      </c>
      <c r="M792" s="37">
        <f t="shared" si="606"/>
        <v>2629.6092614553049</v>
      </c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3.5" customHeight="1" outlineLevel="1" x14ac:dyDescent="0.3">
      <c r="A793" s="206" t="s">
        <v>540</v>
      </c>
      <c r="B793" s="35"/>
      <c r="C793" s="35"/>
      <c r="D793" s="43" t="s">
        <v>93</v>
      </c>
      <c r="E793" s="37"/>
      <c r="F793" s="205">
        <v>0</v>
      </c>
      <c r="G793" s="205"/>
      <c r="H793" s="37">
        <f t="shared" ref="H793:M793" si="607">H729</f>
        <v>354.8319399047619</v>
      </c>
      <c r="I793" s="37">
        <f t="shared" si="607"/>
        <v>1211.6320809999997</v>
      </c>
      <c r="J793" s="37">
        <f t="shared" si="607"/>
        <v>2349.132841694</v>
      </c>
      <c r="K793" s="37">
        <f t="shared" si="607"/>
        <v>4183.856715327488</v>
      </c>
      <c r="L793" s="37">
        <f t="shared" si="607"/>
        <v>7108.2981524245479</v>
      </c>
      <c r="M793" s="37">
        <f t="shared" si="607"/>
        <v>7748.7289712842758</v>
      </c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3.5" customHeight="1" outlineLevel="1" x14ac:dyDescent="0.3">
      <c r="A794" s="206" t="s">
        <v>541</v>
      </c>
      <c r="B794" s="35"/>
      <c r="C794" s="35"/>
      <c r="D794" s="43" t="s">
        <v>93</v>
      </c>
      <c r="E794" s="37"/>
      <c r="F794" s="205">
        <v>0</v>
      </c>
      <c r="G794" s="205"/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3.5" customHeight="1" outlineLevel="1" x14ac:dyDescent="0.3">
      <c r="A795" s="207" t="s">
        <v>542</v>
      </c>
      <c r="B795" s="167"/>
      <c r="C795" s="167"/>
      <c r="D795" s="63" t="s">
        <v>93</v>
      </c>
      <c r="E795" s="36"/>
      <c r="F795" s="36">
        <f>SUM(F792:F794)</f>
        <v>80</v>
      </c>
      <c r="G795" s="36"/>
      <c r="H795" s="36">
        <f t="shared" ref="H795:M795" si="608">SUM(H792:H794)</f>
        <v>587.08752383333331</v>
      </c>
      <c r="I795" s="36">
        <f t="shared" si="608"/>
        <v>1736.5097741749996</v>
      </c>
      <c r="J795" s="36">
        <f t="shared" si="608"/>
        <v>3346.548126602775</v>
      </c>
      <c r="K795" s="36">
        <f t="shared" si="608"/>
        <v>6019.9859600854188</v>
      </c>
      <c r="L795" s="36">
        <f t="shared" si="608"/>
        <v>9475.435766806193</v>
      </c>
      <c r="M795" s="36">
        <f t="shared" si="608"/>
        <v>10378.338232739581</v>
      </c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3.5" customHeight="1" outlineLevel="1" x14ac:dyDescent="0.3">
      <c r="A796" s="207" t="s">
        <v>543</v>
      </c>
      <c r="B796" s="167"/>
      <c r="C796" s="167"/>
      <c r="D796" s="63" t="s">
        <v>93</v>
      </c>
      <c r="E796" s="36"/>
      <c r="F796" s="36">
        <f>IF(F824&gt;=0,F824,0)</f>
        <v>0</v>
      </c>
      <c r="G796" s="36"/>
      <c r="H796" s="36">
        <f t="shared" ref="H796:M796" si="609">IF(H824&gt;=0,H824,0)</f>
        <v>0</v>
      </c>
      <c r="I796" s="36">
        <f t="shared" si="609"/>
        <v>48.764777112528463</v>
      </c>
      <c r="J796" s="36">
        <f t="shared" si="609"/>
        <v>1232.8291002506789</v>
      </c>
      <c r="K796" s="36">
        <f t="shared" si="609"/>
        <v>3534.3925469415963</v>
      </c>
      <c r="L796" s="36">
        <f t="shared" si="609"/>
        <v>8061.4729328760077</v>
      </c>
      <c r="M796" s="36">
        <f t="shared" si="609"/>
        <v>16563.885286356792</v>
      </c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3.5" customHeight="1" outlineLevel="1" x14ac:dyDescent="0.3">
      <c r="A797" s="207" t="s">
        <v>544</v>
      </c>
      <c r="B797" s="167"/>
      <c r="C797" s="167"/>
      <c r="D797" s="63" t="s">
        <v>93</v>
      </c>
      <c r="E797" s="36"/>
      <c r="F797" s="208">
        <v>0</v>
      </c>
      <c r="G797" s="208"/>
      <c r="H797" s="45">
        <f>F797</f>
        <v>0</v>
      </c>
      <c r="I797" s="45">
        <f t="shared" ref="I797:M797" si="610">H797</f>
        <v>0</v>
      </c>
      <c r="J797" s="45">
        <f t="shared" si="610"/>
        <v>0</v>
      </c>
      <c r="K797" s="45">
        <f t="shared" si="610"/>
        <v>0</v>
      </c>
      <c r="L797" s="45">
        <f t="shared" si="610"/>
        <v>0</v>
      </c>
      <c r="M797" s="45">
        <f t="shared" si="610"/>
        <v>0</v>
      </c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3.5" customHeight="1" outlineLevel="1" x14ac:dyDescent="0.3">
      <c r="A798" s="155" t="s">
        <v>545</v>
      </c>
      <c r="B798" s="155"/>
      <c r="C798" s="155"/>
      <c r="D798" s="54" t="s">
        <v>93</v>
      </c>
      <c r="E798" s="156"/>
      <c r="F798" s="156">
        <f>F791+F795+F796+F797</f>
        <v>80</v>
      </c>
      <c r="G798" s="156"/>
      <c r="H798" s="156">
        <f t="shared" ref="H798:M798" si="611">H791+H795+H796+H797</f>
        <v>2510.0514939192467</v>
      </c>
      <c r="I798" s="156">
        <f t="shared" si="611"/>
        <v>6047.0746434977646</v>
      </c>
      <c r="J798" s="156">
        <f t="shared" si="611"/>
        <v>10949.736457582116</v>
      </c>
      <c r="K798" s="156">
        <f t="shared" si="611"/>
        <v>19284.042680759252</v>
      </c>
      <c r="L798" s="156">
        <f t="shared" si="611"/>
        <v>33721.781304786389</v>
      </c>
      <c r="M798" s="156">
        <f t="shared" si="611"/>
        <v>43246.008119275692</v>
      </c>
      <c r="N798" s="157"/>
      <c r="O798" s="157"/>
      <c r="P798" s="157"/>
      <c r="Q798" s="157"/>
      <c r="R798" s="157"/>
      <c r="S798" s="157"/>
      <c r="T798" s="157"/>
      <c r="U798" s="157"/>
      <c r="V798" s="157"/>
      <c r="W798" s="157"/>
      <c r="X798" s="157"/>
      <c r="Y798" s="157"/>
      <c r="Z798" s="157"/>
    </row>
    <row r="799" spans="1:26" ht="13.5" customHeight="1" outlineLevel="1" x14ac:dyDescent="0.3">
      <c r="A799" s="207"/>
      <c r="B799" s="167"/>
      <c r="C799" s="167"/>
      <c r="D799" s="63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3.5" customHeight="1" outlineLevel="1" x14ac:dyDescent="0.3">
      <c r="A800" s="35"/>
      <c r="B800" s="35"/>
      <c r="C800" s="35"/>
      <c r="D800" s="35"/>
      <c r="E800" s="37"/>
      <c r="F800" s="37" t="s">
        <v>166</v>
      </c>
      <c r="G800" s="37"/>
      <c r="H800" s="37" t="s">
        <v>81</v>
      </c>
      <c r="I800" s="37" t="s">
        <v>82</v>
      </c>
      <c r="J800" s="37" t="s">
        <v>83</v>
      </c>
      <c r="K800" s="37" t="s">
        <v>84</v>
      </c>
      <c r="L800" s="37" t="s">
        <v>85</v>
      </c>
      <c r="M800" s="37" t="s">
        <v>86</v>
      </c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3.5" customHeight="1" outlineLevel="1" x14ac:dyDescent="0.3">
      <c r="A801" s="40" t="s">
        <v>546</v>
      </c>
      <c r="B801" s="39"/>
      <c r="C801" s="39"/>
      <c r="D801" s="40" t="str">
        <f>D$58</f>
        <v>Misura</v>
      </c>
      <c r="E801" s="39" t="s">
        <v>115</v>
      </c>
      <c r="F801" s="57">
        <f>H801-1</f>
        <v>2021</v>
      </c>
      <c r="G801" s="57"/>
      <c r="H801" s="57">
        <f t="shared" ref="H801:M801" si="612">H$58</f>
        <v>2022</v>
      </c>
      <c r="I801" s="57">
        <f t="shared" si="612"/>
        <v>2023</v>
      </c>
      <c r="J801" s="57">
        <f t="shared" si="612"/>
        <v>2024</v>
      </c>
      <c r="K801" s="57">
        <f t="shared" si="612"/>
        <v>2025</v>
      </c>
      <c r="L801" s="57">
        <f t="shared" si="612"/>
        <v>2026</v>
      </c>
      <c r="M801" s="57">
        <f t="shared" si="612"/>
        <v>2027</v>
      </c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3.5" customHeight="1" outlineLevel="1" x14ac:dyDescent="0.3">
      <c r="A802" s="207" t="s">
        <v>547</v>
      </c>
      <c r="B802" s="167"/>
      <c r="C802" s="167"/>
      <c r="D802" s="63" t="s">
        <v>93</v>
      </c>
      <c r="E802" s="36"/>
      <c r="F802" s="137"/>
      <c r="G802" s="137"/>
      <c r="H802" s="45">
        <f>F802</f>
        <v>0</v>
      </c>
      <c r="I802" s="45">
        <f t="shared" ref="I802:M802" si="613">H802</f>
        <v>0</v>
      </c>
      <c r="J802" s="45">
        <f t="shared" si="613"/>
        <v>0</v>
      </c>
      <c r="K802" s="45">
        <f t="shared" si="613"/>
        <v>0</v>
      </c>
      <c r="L802" s="45">
        <f t="shared" si="613"/>
        <v>0</v>
      </c>
      <c r="M802" s="45">
        <f t="shared" si="613"/>
        <v>0</v>
      </c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3.5" customHeight="1" outlineLevel="1" x14ac:dyDescent="0.3">
      <c r="A803" s="207" t="s">
        <v>548</v>
      </c>
      <c r="B803" s="167"/>
      <c r="C803" s="167"/>
      <c r="D803" s="63" t="s">
        <v>93</v>
      </c>
      <c r="E803" s="36"/>
      <c r="F803" s="45">
        <f>F422</f>
        <v>0</v>
      </c>
      <c r="G803" s="45"/>
      <c r="H803" s="45">
        <f t="shared" ref="H803:M803" si="614">H422</f>
        <v>22.770370370370372</v>
      </c>
      <c r="I803" s="45">
        <f t="shared" si="614"/>
        <v>78.00355555555555</v>
      </c>
      <c r="J803" s="45">
        <f t="shared" si="614"/>
        <v>152.23749333333333</v>
      </c>
      <c r="K803" s="45">
        <f t="shared" si="614"/>
        <v>259.67366720000001</v>
      </c>
      <c r="L803" s="45">
        <f t="shared" si="614"/>
        <v>399.16890854400003</v>
      </c>
      <c r="M803" s="45">
        <f t="shared" si="614"/>
        <v>558.20689734528014</v>
      </c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3.5" customHeight="1" outlineLevel="1" x14ac:dyDescent="0.3">
      <c r="A804" s="206" t="s">
        <v>549</v>
      </c>
      <c r="B804" s="35"/>
      <c r="C804" s="35"/>
      <c r="D804" s="43" t="s">
        <v>93</v>
      </c>
      <c r="E804" s="37"/>
      <c r="F804" s="44"/>
      <c r="G804" s="44"/>
      <c r="H804" s="37">
        <f t="shared" ref="H804:M804" si="615">H740</f>
        <v>212.60039060709556</v>
      </c>
      <c r="I804" s="37">
        <f t="shared" si="615"/>
        <v>561.496195803962</v>
      </c>
      <c r="J804" s="37">
        <f t="shared" si="615"/>
        <v>991.61995981692326</v>
      </c>
      <c r="K804" s="37">
        <f t="shared" si="615"/>
        <v>1924.1853370054089</v>
      </c>
      <c r="L804" s="37">
        <f t="shared" si="615"/>
        <v>3499.5020929827224</v>
      </c>
      <c r="M804" s="37">
        <f t="shared" si="615"/>
        <v>3940.4359255593749</v>
      </c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3.5" customHeight="1" outlineLevel="1" x14ac:dyDescent="0.3">
      <c r="A805" s="206" t="s">
        <v>550</v>
      </c>
      <c r="B805" s="35"/>
      <c r="C805" s="35"/>
      <c r="D805" s="43" t="s">
        <v>93</v>
      </c>
      <c r="E805" s="37"/>
      <c r="F805" s="46">
        <f>F845</f>
        <v>0</v>
      </c>
      <c r="G805" s="46"/>
      <c r="H805" s="37">
        <f>F805+H845</f>
        <v>0</v>
      </c>
      <c r="I805" s="37">
        <f t="shared" ref="I805:M805" si="616">H805+I845</f>
        <v>0</v>
      </c>
      <c r="J805" s="37">
        <f t="shared" si="616"/>
        <v>0</v>
      </c>
      <c r="K805" s="37">
        <f t="shared" si="616"/>
        <v>0</v>
      </c>
      <c r="L805" s="37">
        <f t="shared" si="616"/>
        <v>0</v>
      </c>
      <c r="M805" s="37">
        <f t="shared" si="616"/>
        <v>0</v>
      </c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3.5" customHeight="1" outlineLevel="1" x14ac:dyDescent="0.3">
      <c r="A806" s="206" t="s">
        <v>551</v>
      </c>
      <c r="B806" s="35"/>
      <c r="C806" s="35"/>
      <c r="D806" s="43" t="s">
        <v>93</v>
      </c>
      <c r="E806" s="37"/>
      <c r="F806" s="46">
        <f>IF(F824&lt;0,-F824,0)</f>
        <v>80</v>
      </c>
      <c r="G806" s="46"/>
      <c r="H806" s="37">
        <f t="shared" ref="H806:M806" si="617">IF(H824&lt;0,-H824,0)</f>
        <v>11.311628402071165</v>
      </c>
      <c r="I806" s="37">
        <f t="shared" si="617"/>
        <v>0</v>
      </c>
      <c r="J806" s="37">
        <f t="shared" si="617"/>
        <v>0</v>
      </c>
      <c r="K806" s="37">
        <f t="shared" si="617"/>
        <v>0</v>
      </c>
      <c r="L806" s="37">
        <f t="shared" si="617"/>
        <v>0</v>
      </c>
      <c r="M806" s="37">
        <f t="shared" si="617"/>
        <v>0</v>
      </c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3.5" customHeight="1" outlineLevel="1" x14ac:dyDescent="0.3">
      <c r="A807" s="206" t="s">
        <v>552</v>
      </c>
      <c r="B807" s="35"/>
      <c r="C807" s="35"/>
      <c r="D807" s="43" t="s">
        <v>93</v>
      </c>
      <c r="E807" s="37"/>
      <c r="F807" s="44">
        <v>0</v>
      </c>
      <c r="G807" s="44"/>
      <c r="H807" s="37">
        <f t="shared" ref="H807:M807" si="618">IF(H715&gt;0,H715,0)</f>
        <v>70.162776623542129</v>
      </c>
      <c r="I807" s="37">
        <f t="shared" si="618"/>
        <v>400.18656654435097</v>
      </c>
      <c r="J807" s="37">
        <f t="shared" si="618"/>
        <v>787.71463563138923</v>
      </c>
      <c r="K807" s="37">
        <f t="shared" si="618"/>
        <v>1356.6603922932441</v>
      </c>
      <c r="L807" s="37">
        <f t="shared" si="618"/>
        <v>2282.9748975756816</v>
      </c>
      <c r="M807" s="37">
        <f t="shared" si="618"/>
        <v>2496.7416662728801</v>
      </c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3.5" customHeight="1" outlineLevel="1" x14ac:dyDescent="0.3">
      <c r="A808" s="207" t="s">
        <v>553</v>
      </c>
      <c r="B808" s="167"/>
      <c r="C808" s="167"/>
      <c r="D808" s="63" t="s">
        <v>93</v>
      </c>
      <c r="E808" s="36"/>
      <c r="F808" s="45">
        <f>SUM(F804:F807)</f>
        <v>80</v>
      </c>
      <c r="G808" s="45"/>
      <c r="H808" s="36">
        <f t="shared" ref="H808:M808" si="619">SUM(H804:H807)</f>
        <v>294.07479563270886</v>
      </c>
      <c r="I808" s="36">
        <f t="shared" si="619"/>
        <v>961.68276234831296</v>
      </c>
      <c r="J808" s="36">
        <f t="shared" si="619"/>
        <v>1779.3345954483125</v>
      </c>
      <c r="K808" s="36">
        <f t="shared" si="619"/>
        <v>3280.8457292986532</v>
      </c>
      <c r="L808" s="36">
        <f t="shared" si="619"/>
        <v>5782.4769905584035</v>
      </c>
      <c r="M808" s="36">
        <f t="shared" si="619"/>
        <v>6437.1775918322546</v>
      </c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3.5" customHeight="1" outlineLevel="1" x14ac:dyDescent="0.3">
      <c r="A809" s="167" t="s">
        <v>554</v>
      </c>
      <c r="B809" s="167"/>
      <c r="C809" s="167"/>
      <c r="D809" s="63" t="s">
        <v>93</v>
      </c>
      <c r="E809" s="36"/>
      <c r="F809" s="137">
        <v>0</v>
      </c>
      <c r="G809" s="137"/>
      <c r="H809" s="36">
        <f t="shared" ref="H809:M809" si="620">H688</f>
        <v>1185.3135540025701</v>
      </c>
      <c r="I809" s="36">
        <f t="shared" si="620"/>
        <v>2659.7405245535579</v>
      </c>
      <c r="J809" s="36">
        <f t="shared" si="620"/>
        <v>4033.3849615159161</v>
      </c>
      <c r="K809" s="36">
        <f t="shared" si="620"/>
        <v>6216.8808245160553</v>
      </c>
      <c r="L809" s="36">
        <f t="shared" si="620"/>
        <v>10370.490027968684</v>
      </c>
      <c r="M809" s="36">
        <f t="shared" si="620"/>
        <v>10722.321369643218</v>
      </c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3.5" customHeight="1" outlineLevel="1" x14ac:dyDescent="0.3">
      <c r="A810" s="207" t="s">
        <v>555</v>
      </c>
      <c r="B810" s="167"/>
      <c r="C810" s="167"/>
      <c r="D810" s="63" t="s">
        <v>93</v>
      </c>
      <c r="E810" s="36"/>
      <c r="F810" s="137"/>
      <c r="G810" s="137"/>
      <c r="H810" s="45">
        <f>F810</f>
        <v>0</v>
      </c>
      <c r="I810" s="45">
        <f t="shared" ref="I810:M810" si="621">H810</f>
        <v>0</v>
      </c>
      <c r="J810" s="45">
        <f t="shared" si="621"/>
        <v>0</v>
      </c>
      <c r="K810" s="45">
        <f t="shared" si="621"/>
        <v>0</v>
      </c>
      <c r="L810" s="45">
        <f t="shared" si="621"/>
        <v>0</v>
      </c>
      <c r="M810" s="45">
        <f t="shared" si="621"/>
        <v>0</v>
      </c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3.5" customHeight="1" outlineLevel="1" x14ac:dyDescent="0.3">
      <c r="A811" s="170" t="s">
        <v>556</v>
      </c>
      <c r="B811" s="170"/>
      <c r="C811" s="170"/>
      <c r="D811" s="47" t="s">
        <v>93</v>
      </c>
      <c r="E811" s="157"/>
      <c r="F811" s="45">
        <f>F802+F803+F808+F810</f>
        <v>80</v>
      </c>
      <c r="G811" s="45"/>
      <c r="H811" s="157">
        <f t="shared" ref="H811:M811" si="622">H802+H803+H808+H810</f>
        <v>316.84516600307921</v>
      </c>
      <c r="I811" s="157">
        <f t="shared" si="622"/>
        <v>1039.6863179038685</v>
      </c>
      <c r="J811" s="157">
        <f t="shared" si="622"/>
        <v>1931.5720887816458</v>
      </c>
      <c r="K811" s="157">
        <f t="shared" si="622"/>
        <v>3540.5193964986534</v>
      </c>
      <c r="L811" s="157">
        <f t="shared" si="622"/>
        <v>6181.6458991024037</v>
      </c>
      <c r="M811" s="157">
        <f t="shared" si="622"/>
        <v>6995.3844891775352</v>
      </c>
      <c r="N811" s="157"/>
      <c r="O811" s="157"/>
      <c r="P811" s="157"/>
      <c r="Q811" s="157"/>
      <c r="R811" s="157"/>
      <c r="S811" s="157"/>
      <c r="T811" s="157"/>
      <c r="U811" s="157"/>
      <c r="V811" s="157"/>
      <c r="W811" s="157"/>
      <c r="X811" s="157"/>
      <c r="Y811" s="157"/>
      <c r="Z811" s="157"/>
    </row>
    <row r="812" spans="1:26" ht="13.5" customHeight="1" outlineLevel="1" x14ac:dyDescent="0.3">
      <c r="A812" s="207"/>
      <c r="B812" s="167"/>
      <c r="C812" s="167"/>
      <c r="D812" s="63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3.5" customHeight="1" outlineLevel="1" x14ac:dyDescent="0.3">
      <c r="A813" s="206" t="s">
        <v>557</v>
      </c>
      <c r="B813" s="167"/>
      <c r="C813" s="167"/>
      <c r="D813" s="43" t="s">
        <v>93</v>
      </c>
      <c r="E813" s="36"/>
      <c r="F813" s="46">
        <f>F833</f>
        <v>0</v>
      </c>
      <c r="G813" s="46"/>
      <c r="H813" s="37">
        <f>F813+H833</f>
        <v>0</v>
      </c>
      <c r="I813" s="37">
        <f t="shared" ref="I813:M813" si="623">H813+I833</f>
        <v>0</v>
      </c>
      <c r="J813" s="37">
        <f t="shared" si="623"/>
        <v>0</v>
      </c>
      <c r="K813" s="37">
        <f t="shared" si="623"/>
        <v>0</v>
      </c>
      <c r="L813" s="37">
        <f t="shared" si="623"/>
        <v>0</v>
      </c>
      <c r="M813" s="37">
        <f t="shared" si="623"/>
        <v>0</v>
      </c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3.5" customHeight="1" outlineLevel="1" x14ac:dyDescent="0.3">
      <c r="A814" s="206" t="s">
        <v>558</v>
      </c>
      <c r="B814" s="167"/>
      <c r="C814" s="167"/>
      <c r="D814" s="43" t="s">
        <v>93</v>
      </c>
      <c r="E814" s="36"/>
      <c r="F814" s="46">
        <f>F839</f>
        <v>0</v>
      </c>
      <c r="G814" s="46"/>
      <c r="H814" s="37">
        <f>F814+H839-H780+IF((F814+F818)&gt;0,F818,0)</f>
        <v>773</v>
      </c>
      <c r="I814" s="37">
        <f t="shared" ref="I814:M814" si="624">H814+I839-I780+IF((H814+H818)&gt;0,H818,0)</f>
        <v>1007.8927739135976</v>
      </c>
      <c r="J814" s="37">
        <f t="shared" si="624"/>
        <v>2347.6478010403375</v>
      </c>
      <c r="K814" s="37">
        <f t="shared" si="624"/>
        <v>4984.7794072845536</v>
      </c>
      <c r="L814" s="37">
        <f t="shared" si="624"/>
        <v>9526.6424597445439</v>
      </c>
      <c r="M814" s="37">
        <f t="shared" si="624"/>
        <v>17169.645377715304</v>
      </c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3.5" customHeight="1" outlineLevel="1" x14ac:dyDescent="0.3">
      <c r="A815" s="207" t="s">
        <v>559</v>
      </c>
      <c r="B815" s="167"/>
      <c r="C815" s="167"/>
      <c r="D815" s="63" t="s">
        <v>93</v>
      </c>
      <c r="E815" s="36"/>
      <c r="F815" s="45">
        <f>SUM(F813:F814)</f>
        <v>0</v>
      </c>
      <c r="G815" s="45"/>
      <c r="H815" s="36">
        <f t="shared" ref="H815:M815" si="625">SUM(H813:H814)</f>
        <v>773</v>
      </c>
      <c r="I815" s="36">
        <f t="shared" si="625"/>
        <v>1007.8927739135976</v>
      </c>
      <c r="J815" s="36">
        <f t="shared" si="625"/>
        <v>2347.6478010403375</v>
      </c>
      <c r="K815" s="36">
        <f t="shared" si="625"/>
        <v>4984.7794072845536</v>
      </c>
      <c r="L815" s="36">
        <f t="shared" si="625"/>
        <v>9526.6424597445439</v>
      </c>
      <c r="M815" s="36">
        <f t="shared" si="625"/>
        <v>17169.645377715304</v>
      </c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3.5" customHeight="1" outlineLevel="1" x14ac:dyDescent="0.3">
      <c r="A816" s="206" t="s">
        <v>560</v>
      </c>
      <c r="B816" s="167"/>
      <c r="C816" s="167"/>
      <c r="D816" s="43" t="s">
        <v>93</v>
      </c>
      <c r="E816" s="36"/>
      <c r="F816" s="44">
        <v>0</v>
      </c>
      <c r="G816" s="44"/>
      <c r="H816" s="37">
        <f t="shared" ref="H816:M816" si="626">H716</f>
        <v>234.89277391359758</v>
      </c>
      <c r="I816" s="37">
        <f t="shared" si="626"/>
        <v>1339.7550271267401</v>
      </c>
      <c r="J816" s="37">
        <f t="shared" si="626"/>
        <v>2637.1316062442156</v>
      </c>
      <c r="K816" s="37">
        <f t="shared" si="626"/>
        <v>4541.8630524599903</v>
      </c>
      <c r="L816" s="37">
        <f t="shared" si="626"/>
        <v>7643.0029179707599</v>
      </c>
      <c r="M816" s="37">
        <f t="shared" si="626"/>
        <v>8358.6568827396404</v>
      </c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3.5" customHeight="1" outlineLevel="1" x14ac:dyDescent="0.3">
      <c r="A817" s="206" t="s">
        <v>561</v>
      </c>
      <c r="B817" s="167"/>
      <c r="C817" s="167"/>
      <c r="D817" s="43" t="s">
        <v>93</v>
      </c>
      <c r="E817" s="36"/>
      <c r="F817" s="44"/>
      <c r="G817" s="44"/>
      <c r="H817" s="37">
        <f>IF((F814+F818)&gt;0,0,F818)</f>
        <v>0</v>
      </c>
      <c r="I817" s="37">
        <f t="shared" ref="I817:M817" si="627">IF((H814+H818)&gt;0,0,H818)</f>
        <v>0</v>
      </c>
      <c r="J817" s="37">
        <f t="shared" si="627"/>
        <v>0</v>
      </c>
      <c r="K817" s="37">
        <f t="shared" si="627"/>
        <v>0</v>
      </c>
      <c r="L817" s="37">
        <f t="shared" si="627"/>
        <v>0</v>
      </c>
      <c r="M817" s="37">
        <f t="shared" si="627"/>
        <v>0</v>
      </c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3.5" customHeight="1" outlineLevel="1" x14ac:dyDescent="0.3">
      <c r="A818" s="207" t="s">
        <v>562</v>
      </c>
      <c r="B818" s="167"/>
      <c r="C818" s="167"/>
      <c r="D818" s="63" t="s">
        <v>93</v>
      </c>
      <c r="E818" s="36"/>
      <c r="F818" s="45">
        <f>SUM(F816:F817)</f>
        <v>0</v>
      </c>
      <c r="G818" s="45"/>
      <c r="H818" s="36">
        <f t="shared" ref="H818:M818" si="628">SUM(H816:H817)</f>
        <v>234.89277391359758</v>
      </c>
      <c r="I818" s="36">
        <f t="shared" si="628"/>
        <v>1339.7550271267401</v>
      </c>
      <c r="J818" s="36">
        <f t="shared" si="628"/>
        <v>2637.1316062442156</v>
      </c>
      <c r="K818" s="36">
        <f t="shared" si="628"/>
        <v>4541.8630524599903</v>
      </c>
      <c r="L818" s="36">
        <f t="shared" si="628"/>
        <v>7643.0029179707599</v>
      </c>
      <c r="M818" s="36">
        <f t="shared" si="628"/>
        <v>8358.6568827396404</v>
      </c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3.5" customHeight="1" outlineLevel="1" x14ac:dyDescent="0.3">
      <c r="A819" s="170" t="s">
        <v>563</v>
      </c>
      <c r="B819" s="170"/>
      <c r="C819" s="170"/>
      <c r="D819" s="47" t="s">
        <v>93</v>
      </c>
      <c r="E819" s="157"/>
      <c r="F819" s="51">
        <f>F815+F818</f>
        <v>0</v>
      </c>
      <c r="G819" s="51"/>
      <c r="H819" s="157">
        <f t="shared" ref="H819:M819" si="629">H815+H818</f>
        <v>1007.8927739135976</v>
      </c>
      <c r="I819" s="157">
        <f t="shared" si="629"/>
        <v>2347.6478010403375</v>
      </c>
      <c r="J819" s="157">
        <f t="shared" si="629"/>
        <v>4984.7794072845536</v>
      </c>
      <c r="K819" s="157">
        <f t="shared" si="629"/>
        <v>9526.6424597445439</v>
      </c>
      <c r="L819" s="157">
        <f t="shared" si="629"/>
        <v>17169.645377715304</v>
      </c>
      <c r="M819" s="157">
        <f t="shared" si="629"/>
        <v>25528.302260454944</v>
      </c>
      <c r="N819" s="157"/>
      <c r="O819" s="157"/>
      <c r="P819" s="157"/>
      <c r="Q819" s="157"/>
      <c r="R819" s="157"/>
      <c r="S819" s="157"/>
      <c r="T819" s="157"/>
      <c r="U819" s="157"/>
      <c r="V819" s="157"/>
      <c r="W819" s="157"/>
      <c r="X819" s="157"/>
      <c r="Y819" s="157"/>
      <c r="Z819" s="157"/>
    </row>
    <row r="820" spans="1:26" ht="13.5" customHeight="1" outlineLevel="1" x14ac:dyDescent="0.3">
      <c r="A820" s="170"/>
      <c r="B820" s="170"/>
      <c r="C820" s="170"/>
      <c r="D820" s="47"/>
      <c r="E820" s="157"/>
      <c r="F820" s="157"/>
      <c r="G820" s="157"/>
      <c r="H820" s="157"/>
      <c r="I820" s="157"/>
      <c r="J820" s="157"/>
      <c r="K820" s="157"/>
      <c r="L820" s="157"/>
      <c r="M820" s="157"/>
      <c r="N820" s="157"/>
      <c r="O820" s="157"/>
      <c r="P820" s="157"/>
      <c r="Q820" s="157"/>
      <c r="R820" s="157"/>
      <c r="S820" s="157"/>
      <c r="T820" s="157"/>
      <c r="U820" s="157"/>
      <c r="V820" s="157"/>
      <c r="W820" s="157"/>
      <c r="X820" s="157"/>
      <c r="Y820" s="157"/>
      <c r="Z820" s="157"/>
    </row>
    <row r="821" spans="1:26" ht="13.5" customHeight="1" outlineLevel="1" x14ac:dyDescent="0.3">
      <c r="A821" s="155" t="s">
        <v>564</v>
      </c>
      <c r="B821" s="155"/>
      <c r="C821" s="155"/>
      <c r="D821" s="54" t="s">
        <v>93</v>
      </c>
      <c r="E821" s="156"/>
      <c r="F821" s="156">
        <f>F811+F819</f>
        <v>80</v>
      </c>
      <c r="G821" s="156"/>
      <c r="H821" s="156">
        <f t="shared" ref="H821:M821" si="630">H811+H819</f>
        <v>1324.7379399166769</v>
      </c>
      <c r="I821" s="156">
        <f t="shared" si="630"/>
        <v>3387.3341189442062</v>
      </c>
      <c r="J821" s="156">
        <f t="shared" si="630"/>
        <v>6916.3514960661996</v>
      </c>
      <c r="K821" s="156">
        <f t="shared" si="630"/>
        <v>13067.161856243198</v>
      </c>
      <c r="L821" s="156">
        <f t="shared" si="630"/>
        <v>23351.291276817708</v>
      </c>
      <c r="M821" s="156">
        <f t="shared" si="630"/>
        <v>32523.686749632478</v>
      </c>
      <c r="N821" s="157"/>
      <c r="O821" s="157"/>
      <c r="P821" s="157"/>
      <c r="Q821" s="157"/>
      <c r="R821" s="157"/>
      <c r="S821" s="157"/>
      <c r="T821" s="157"/>
      <c r="U821" s="157"/>
      <c r="V821" s="157"/>
      <c r="W821" s="157"/>
      <c r="X821" s="157"/>
      <c r="Y821" s="157"/>
      <c r="Z821" s="157"/>
    </row>
    <row r="822" spans="1:26" ht="13.5" customHeight="1" outlineLevel="1" x14ac:dyDescent="0.3">
      <c r="A822" s="209" t="s">
        <v>565</v>
      </c>
      <c r="B822" s="210"/>
      <c r="C822" s="210"/>
      <c r="D822" s="145"/>
      <c r="E822" s="211"/>
      <c r="F822" s="211"/>
      <c r="G822" s="211"/>
      <c r="H822" s="211">
        <f t="shared" ref="H822:M822" si="631">+H821-H798</f>
        <v>-1185.3135540025698</v>
      </c>
      <c r="I822" s="211">
        <f t="shared" si="631"/>
        <v>-2659.7405245535583</v>
      </c>
      <c r="J822" s="211">
        <f t="shared" si="631"/>
        <v>-4033.3849615159161</v>
      </c>
      <c r="K822" s="211">
        <f t="shared" si="631"/>
        <v>-6216.8808245160544</v>
      </c>
      <c r="L822" s="211">
        <f t="shared" si="631"/>
        <v>-10370.490027968681</v>
      </c>
      <c r="M822" s="211">
        <f t="shared" si="631"/>
        <v>-10722.321369643214</v>
      </c>
      <c r="N822" s="211"/>
      <c r="O822" s="211"/>
      <c r="P822" s="211"/>
      <c r="Q822" s="211"/>
      <c r="R822" s="211"/>
      <c r="S822" s="211"/>
      <c r="T822" s="211"/>
      <c r="U822" s="211"/>
      <c r="V822" s="211"/>
      <c r="W822" s="211"/>
      <c r="X822" s="211"/>
      <c r="Y822" s="211"/>
      <c r="Z822" s="211"/>
    </row>
    <row r="823" spans="1:26" ht="13.5" customHeight="1" outlineLevel="1" x14ac:dyDescent="0.3">
      <c r="A823" s="35"/>
      <c r="B823" s="35"/>
      <c r="C823" s="35"/>
      <c r="D823" s="35"/>
      <c r="E823" s="37"/>
      <c r="F823" s="36"/>
      <c r="G823" s="36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3.5" customHeight="1" outlineLevel="1" x14ac:dyDescent="0.3">
      <c r="A824" s="170" t="s">
        <v>566</v>
      </c>
      <c r="B824" s="170"/>
      <c r="C824" s="170"/>
      <c r="D824" s="47" t="s">
        <v>93</v>
      </c>
      <c r="E824" s="157"/>
      <c r="F824" s="157">
        <f>F802+F803+F804+F805+F807+F809+F810+F819-F791-F795-F797</f>
        <v>-80</v>
      </c>
      <c r="G824" s="157"/>
      <c r="H824" s="157">
        <f t="shared" ref="H824:M824" si="632">H802+H803+H804+H805+H807+H809+H810+H819-H791-H795-H797</f>
        <v>-11.311628402071165</v>
      </c>
      <c r="I824" s="157">
        <f t="shared" si="632"/>
        <v>48.764777112528463</v>
      </c>
      <c r="J824" s="157">
        <f t="shared" si="632"/>
        <v>1232.8291002506789</v>
      </c>
      <c r="K824" s="157">
        <f t="shared" si="632"/>
        <v>3534.3925469415963</v>
      </c>
      <c r="L824" s="157">
        <f t="shared" si="632"/>
        <v>8061.4729328760077</v>
      </c>
      <c r="M824" s="157">
        <f t="shared" si="632"/>
        <v>16563.885286356792</v>
      </c>
      <c r="N824" s="157"/>
      <c r="O824" s="157"/>
      <c r="P824" s="157"/>
      <c r="Q824" s="157"/>
      <c r="R824" s="157"/>
      <c r="S824" s="157"/>
      <c r="T824" s="157"/>
      <c r="U824" s="157"/>
      <c r="V824" s="157"/>
      <c r="W824" s="157"/>
      <c r="X824" s="157"/>
      <c r="Y824" s="157"/>
      <c r="Z824" s="157"/>
    </row>
    <row r="825" spans="1:26" ht="13.5" customHeight="1" outlineLevel="1" x14ac:dyDescent="0.3">
      <c r="A825" s="35"/>
      <c r="B825" s="35"/>
      <c r="C825" s="35"/>
      <c r="D825" s="35"/>
      <c r="E825" s="37"/>
      <c r="F825" s="36"/>
      <c r="G825" s="36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3.5" customHeight="1" outlineLevel="1" x14ac:dyDescent="0.3">
      <c r="A826" s="152"/>
      <c r="B826" s="152"/>
      <c r="C826" s="36" t="s">
        <v>166</v>
      </c>
      <c r="D826" s="35"/>
      <c r="E826" s="37"/>
      <c r="F826" s="37" t="s">
        <v>166</v>
      </c>
      <c r="G826" s="37"/>
      <c r="H826" s="37" t="s">
        <v>81</v>
      </c>
      <c r="I826" s="37" t="s">
        <v>82</v>
      </c>
      <c r="J826" s="37" t="s">
        <v>83</v>
      </c>
      <c r="K826" s="37" t="s">
        <v>84</v>
      </c>
      <c r="L826" s="37" t="s">
        <v>85</v>
      </c>
      <c r="M826" s="37" t="s">
        <v>86</v>
      </c>
      <c r="N826" s="153"/>
      <c r="O826" s="153"/>
      <c r="P826" s="153"/>
      <c r="Q826" s="153"/>
      <c r="R826" s="153"/>
      <c r="S826" s="153"/>
      <c r="T826" s="153"/>
      <c r="U826" s="153"/>
      <c r="V826" s="153"/>
      <c r="W826" s="153"/>
      <c r="X826" s="153"/>
      <c r="Y826" s="153"/>
      <c r="Z826" s="153"/>
    </row>
    <row r="827" spans="1:26" ht="13.5" customHeight="1" outlineLevel="1" x14ac:dyDescent="0.3">
      <c r="A827" s="40" t="s">
        <v>567</v>
      </c>
      <c r="B827" s="39"/>
      <c r="C827" s="41">
        <f>F827</f>
        <v>2021</v>
      </c>
      <c r="D827" s="40" t="str">
        <f>D$58</f>
        <v>Misura</v>
      </c>
      <c r="E827" s="39" t="s">
        <v>142</v>
      </c>
      <c r="F827" s="57">
        <f>H827-1</f>
        <v>2021</v>
      </c>
      <c r="G827" s="57"/>
      <c r="H827" s="57">
        <f t="shared" ref="H827:M827" si="633">H$58</f>
        <v>2022</v>
      </c>
      <c r="I827" s="57">
        <f t="shared" si="633"/>
        <v>2023</v>
      </c>
      <c r="J827" s="57">
        <f t="shared" si="633"/>
        <v>2024</v>
      </c>
      <c r="K827" s="57">
        <f t="shared" si="633"/>
        <v>2025</v>
      </c>
      <c r="L827" s="57">
        <f t="shared" si="633"/>
        <v>2026</v>
      </c>
      <c r="M827" s="57">
        <f t="shared" si="633"/>
        <v>2027</v>
      </c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3.5" customHeight="1" outlineLevel="1" x14ac:dyDescent="0.3">
      <c r="A828" s="166" t="s">
        <v>568</v>
      </c>
      <c r="B828" s="166"/>
      <c r="C828" s="80" t="str">
        <f t="shared" ref="C828:C832" si="634">IF(F$833&gt;0,F828/F$833,"n/a")</f>
        <v>n/a</v>
      </c>
      <c r="D828" s="166" t="s">
        <v>93</v>
      </c>
      <c r="E828" s="80" t="str">
        <f t="shared" ref="E828:E832" si="635">IF(SUM(F$833:L$833)&gt;0,SUM(F828:L828)/SUM(F$833:L$833),"n/a")</f>
        <v>n/a</v>
      </c>
      <c r="F828" s="212">
        <v>0</v>
      </c>
      <c r="G828" s="212"/>
      <c r="H828" s="44"/>
      <c r="I828" s="44"/>
      <c r="J828" s="44"/>
      <c r="K828" s="44"/>
      <c r="L828" s="44"/>
      <c r="M828" s="44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3.5" customHeight="1" outlineLevel="1" x14ac:dyDescent="0.3">
      <c r="A829" s="166" t="s">
        <v>569</v>
      </c>
      <c r="B829" s="166"/>
      <c r="C829" s="80" t="str">
        <f t="shared" si="634"/>
        <v>n/a</v>
      </c>
      <c r="D829" s="166" t="s">
        <v>93</v>
      </c>
      <c r="E829" s="80" t="str">
        <f t="shared" si="635"/>
        <v>n/a</v>
      </c>
      <c r="F829" s="212">
        <v>0</v>
      </c>
      <c r="G829" s="212"/>
      <c r="H829" s="44"/>
      <c r="I829" s="44"/>
      <c r="J829" s="44"/>
      <c r="K829" s="44"/>
      <c r="L829" s="44"/>
      <c r="M829" s="44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3.5" customHeight="1" outlineLevel="1" x14ac:dyDescent="0.3">
      <c r="A830" s="166" t="s">
        <v>570</v>
      </c>
      <c r="B830" s="166"/>
      <c r="C830" s="80" t="str">
        <f t="shared" si="634"/>
        <v>n/a</v>
      </c>
      <c r="D830" s="166" t="s">
        <v>93</v>
      </c>
      <c r="E830" s="80" t="str">
        <f t="shared" si="635"/>
        <v>n/a</v>
      </c>
      <c r="F830" s="212">
        <v>0</v>
      </c>
      <c r="G830" s="212"/>
      <c r="H830" s="44"/>
      <c r="I830" s="44"/>
      <c r="J830" s="44"/>
      <c r="K830" s="44"/>
      <c r="L830" s="44"/>
      <c r="M830" s="44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3.5" customHeight="1" outlineLevel="1" x14ac:dyDescent="0.3">
      <c r="A831" s="166" t="s">
        <v>571</v>
      </c>
      <c r="B831" s="166"/>
      <c r="C831" s="80" t="str">
        <f t="shared" si="634"/>
        <v>n/a</v>
      </c>
      <c r="D831" s="166" t="s">
        <v>93</v>
      </c>
      <c r="E831" s="80" t="str">
        <f t="shared" si="635"/>
        <v>n/a</v>
      </c>
      <c r="F831" s="212">
        <v>0</v>
      </c>
      <c r="G831" s="212"/>
      <c r="H831" s="44"/>
      <c r="I831" s="44"/>
      <c r="J831" s="44"/>
      <c r="K831" s="44"/>
      <c r="L831" s="44"/>
      <c r="M831" s="44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3.5" customHeight="1" outlineLevel="1" x14ac:dyDescent="0.3">
      <c r="A832" s="166" t="s">
        <v>572</v>
      </c>
      <c r="B832" s="166"/>
      <c r="C832" s="80" t="str">
        <f t="shared" si="634"/>
        <v>n/a</v>
      </c>
      <c r="D832" s="166" t="s">
        <v>93</v>
      </c>
      <c r="E832" s="80" t="str">
        <f t="shared" si="635"/>
        <v>n/a</v>
      </c>
      <c r="F832" s="212">
        <v>0</v>
      </c>
      <c r="G832" s="212"/>
      <c r="H832" s="44"/>
      <c r="I832" s="44"/>
      <c r="J832" s="44"/>
      <c r="K832" s="44"/>
      <c r="L832" s="44"/>
      <c r="M832" s="44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3.5" customHeight="1" outlineLevel="1" x14ac:dyDescent="0.3">
      <c r="A833" s="213" t="s">
        <v>573</v>
      </c>
      <c r="B833" s="213"/>
      <c r="C833" s="61">
        <f>SUM(C828:C832)</f>
        <v>0</v>
      </c>
      <c r="D833" s="213" t="s">
        <v>93</v>
      </c>
      <c r="E833" s="61">
        <f t="shared" ref="E833:F833" si="636">SUM(E828:E832)</f>
        <v>0</v>
      </c>
      <c r="F833" s="51">
        <f t="shared" si="636"/>
        <v>0</v>
      </c>
      <c r="G833" s="51"/>
      <c r="H833" s="51">
        <f t="shared" ref="H833:M833" si="637">SUM(H828:H832)</f>
        <v>0</v>
      </c>
      <c r="I833" s="51">
        <f t="shared" si="637"/>
        <v>0</v>
      </c>
      <c r="J833" s="51">
        <f t="shared" si="637"/>
        <v>0</v>
      </c>
      <c r="K833" s="51">
        <f t="shared" si="637"/>
        <v>0</v>
      </c>
      <c r="L833" s="51">
        <f t="shared" si="637"/>
        <v>0</v>
      </c>
      <c r="M833" s="51">
        <f t="shared" si="637"/>
        <v>0</v>
      </c>
      <c r="N833" s="188"/>
      <c r="O833" s="188"/>
      <c r="P833" s="188"/>
      <c r="Q833" s="188"/>
      <c r="R833" s="188"/>
      <c r="S833" s="188"/>
      <c r="T833" s="188"/>
      <c r="U833" s="188"/>
      <c r="V833" s="188"/>
      <c r="W833" s="188"/>
      <c r="X833" s="188"/>
      <c r="Y833" s="188"/>
      <c r="Z833" s="188"/>
    </row>
    <row r="834" spans="1:26" ht="13.5" customHeight="1" outlineLevel="1" x14ac:dyDescent="0.3">
      <c r="A834" s="166" t="str">
        <f t="shared" ref="A834:A838" si="638">A828</f>
        <v>Socio 1</v>
      </c>
      <c r="B834" s="214"/>
      <c r="C834" s="80" t="str">
        <f t="shared" ref="C834:C838" si="639">IF(F$839&gt;0,F834/F$839,"n/a")</f>
        <v>n/a</v>
      </c>
      <c r="D834" s="166" t="s">
        <v>93</v>
      </c>
      <c r="E834" s="80">
        <f t="shared" ref="E834:E838" si="640">IF(SUM(F$839:L$839)&gt;0,SUM(F834:L834)/SUM(F$839:L$839),"n/a")</f>
        <v>0</v>
      </c>
      <c r="F834" s="212">
        <v>0</v>
      </c>
      <c r="G834" s="212"/>
      <c r="H834" s="44"/>
      <c r="I834" s="44"/>
      <c r="J834" s="44"/>
      <c r="K834" s="44"/>
      <c r="L834" s="44"/>
      <c r="M834" s="44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3.5" customHeight="1" outlineLevel="1" x14ac:dyDescent="0.3">
      <c r="A835" s="166" t="str">
        <f t="shared" si="638"/>
        <v>Socio 2</v>
      </c>
      <c r="B835" s="214"/>
      <c r="C835" s="80" t="str">
        <f t="shared" si="639"/>
        <v>n/a</v>
      </c>
      <c r="D835" s="166" t="s">
        <v>93</v>
      </c>
      <c r="E835" s="80">
        <f t="shared" si="640"/>
        <v>0.32341526520051744</v>
      </c>
      <c r="F835" s="212">
        <v>0</v>
      </c>
      <c r="G835" s="212"/>
      <c r="H835" s="44">
        <v>250</v>
      </c>
      <c r="I835" s="44"/>
      <c r="J835" s="44"/>
      <c r="K835" s="44"/>
      <c r="L835" s="44"/>
      <c r="M835" s="44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3.5" customHeight="1" outlineLevel="1" x14ac:dyDescent="0.3">
      <c r="A836" s="166" t="str">
        <f t="shared" si="638"/>
        <v>Socio 3</v>
      </c>
      <c r="B836" s="166"/>
      <c r="C836" s="80" t="str">
        <f t="shared" si="639"/>
        <v>n/a</v>
      </c>
      <c r="D836" s="166" t="s">
        <v>93</v>
      </c>
      <c r="E836" s="80">
        <f t="shared" si="640"/>
        <v>0.67658473479948256</v>
      </c>
      <c r="F836" s="212">
        <v>0</v>
      </c>
      <c r="G836" s="212"/>
      <c r="H836" s="44">
        <v>523</v>
      </c>
      <c r="I836" s="44"/>
      <c r="J836" s="44"/>
      <c r="K836" s="44"/>
      <c r="L836" s="44"/>
      <c r="M836" s="44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3.5" customHeight="1" outlineLevel="1" x14ac:dyDescent="0.3">
      <c r="A837" s="166" t="str">
        <f t="shared" si="638"/>
        <v>Socio 4</v>
      </c>
      <c r="B837" s="214"/>
      <c r="C837" s="80" t="str">
        <f t="shared" si="639"/>
        <v>n/a</v>
      </c>
      <c r="D837" s="166" t="s">
        <v>93</v>
      </c>
      <c r="E837" s="80">
        <f t="shared" si="640"/>
        <v>0</v>
      </c>
      <c r="F837" s="212">
        <v>0</v>
      </c>
      <c r="G837" s="212"/>
      <c r="H837" s="44"/>
      <c r="I837" s="44"/>
      <c r="J837" s="44"/>
      <c r="K837" s="44"/>
      <c r="L837" s="44"/>
      <c r="M837" s="44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3.5" customHeight="1" outlineLevel="1" x14ac:dyDescent="0.3">
      <c r="A838" s="166" t="str">
        <f t="shared" si="638"/>
        <v>Socio 5</v>
      </c>
      <c r="B838" s="166"/>
      <c r="C838" s="80" t="str">
        <f t="shared" si="639"/>
        <v>n/a</v>
      </c>
      <c r="D838" s="166" t="s">
        <v>93</v>
      </c>
      <c r="E838" s="80">
        <f t="shared" si="640"/>
        <v>0</v>
      </c>
      <c r="F838" s="212">
        <v>0</v>
      </c>
      <c r="G838" s="212"/>
      <c r="H838" s="44"/>
      <c r="I838" s="44"/>
      <c r="J838" s="44"/>
      <c r="K838" s="44"/>
      <c r="L838" s="44"/>
      <c r="M838" s="44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3.5" customHeight="1" outlineLevel="1" x14ac:dyDescent="0.3">
      <c r="A839" s="213" t="s">
        <v>574</v>
      </c>
      <c r="B839" s="213"/>
      <c r="C839" s="61">
        <f>SUM(C834:C838)</f>
        <v>0</v>
      </c>
      <c r="D839" s="213" t="s">
        <v>93</v>
      </c>
      <c r="E839" s="61">
        <f t="shared" ref="E839:F839" si="641">SUM(E834:E838)</f>
        <v>1</v>
      </c>
      <c r="F839" s="51">
        <f t="shared" si="641"/>
        <v>0</v>
      </c>
      <c r="G839" s="51"/>
      <c r="H839" s="51">
        <f t="shared" ref="H839:M839" si="642">SUM(H834:H838)</f>
        <v>773</v>
      </c>
      <c r="I839" s="51">
        <f t="shared" si="642"/>
        <v>0</v>
      </c>
      <c r="J839" s="51">
        <f t="shared" si="642"/>
        <v>0</v>
      </c>
      <c r="K839" s="51">
        <f t="shared" si="642"/>
        <v>0</v>
      </c>
      <c r="L839" s="51">
        <f t="shared" si="642"/>
        <v>0</v>
      </c>
      <c r="M839" s="51">
        <f t="shared" si="642"/>
        <v>0</v>
      </c>
      <c r="N839" s="188"/>
      <c r="O839" s="188"/>
      <c r="P839" s="188"/>
      <c r="Q839" s="188"/>
      <c r="R839" s="188"/>
      <c r="S839" s="188"/>
      <c r="T839" s="188"/>
      <c r="U839" s="188"/>
      <c r="V839" s="188"/>
      <c r="W839" s="188"/>
      <c r="X839" s="188"/>
      <c r="Y839" s="188"/>
      <c r="Z839" s="188"/>
    </row>
    <row r="840" spans="1:26" ht="13.5" customHeight="1" outlineLevel="1" x14ac:dyDescent="0.3">
      <c r="A840" s="166" t="str">
        <f t="shared" ref="A840:A844" si="643">A828</f>
        <v>Socio 1</v>
      </c>
      <c r="B840" s="166"/>
      <c r="C840" s="80" t="str">
        <f t="shared" ref="C840:C844" si="644">IF(F$845&gt;0,F840/F$845,"n/a")</f>
        <v>n/a</v>
      </c>
      <c r="D840" s="166" t="s">
        <v>93</v>
      </c>
      <c r="E840" s="80" t="str">
        <f t="shared" ref="E840:E844" si="645">IF(SUM(F$845:L$845)&gt;0,SUM(F840:L840)/SUM(F$845:L$845),"n/a")</f>
        <v>n/a</v>
      </c>
      <c r="F840" s="212">
        <v>0</v>
      </c>
      <c r="G840" s="212"/>
      <c r="H840" s="44"/>
      <c r="I840" s="44"/>
      <c r="J840" s="44"/>
      <c r="K840" s="44"/>
      <c r="L840" s="44"/>
      <c r="M840" s="44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3.5" customHeight="1" outlineLevel="1" x14ac:dyDescent="0.3">
      <c r="A841" s="166" t="str">
        <f t="shared" si="643"/>
        <v>Socio 2</v>
      </c>
      <c r="B841" s="166"/>
      <c r="C841" s="80" t="str">
        <f t="shared" si="644"/>
        <v>n/a</v>
      </c>
      <c r="D841" s="166" t="s">
        <v>93</v>
      </c>
      <c r="E841" s="80" t="str">
        <f t="shared" si="645"/>
        <v>n/a</v>
      </c>
      <c r="F841" s="212">
        <v>0</v>
      </c>
      <c r="G841" s="212"/>
      <c r="H841" s="44"/>
      <c r="I841" s="44"/>
      <c r="J841" s="44"/>
      <c r="K841" s="44"/>
      <c r="L841" s="44"/>
      <c r="M841" s="44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3.5" customHeight="1" outlineLevel="1" x14ac:dyDescent="0.3">
      <c r="A842" s="166" t="str">
        <f t="shared" si="643"/>
        <v>Socio 3</v>
      </c>
      <c r="B842" s="166"/>
      <c r="C842" s="80" t="str">
        <f t="shared" si="644"/>
        <v>n/a</v>
      </c>
      <c r="D842" s="166" t="s">
        <v>93</v>
      </c>
      <c r="E842" s="80" t="str">
        <f t="shared" si="645"/>
        <v>n/a</v>
      </c>
      <c r="F842" s="212">
        <v>0</v>
      </c>
      <c r="G842" s="212"/>
      <c r="H842" s="44"/>
      <c r="I842" s="44"/>
      <c r="J842" s="44"/>
      <c r="K842" s="44"/>
      <c r="L842" s="44"/>
      <c r="M842" s="44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3.5" customHeight="1" outlineLevel="1" x14ac:dyDescent="0.3">
      <c r="A843" s="166" t="str">
        <f t="shared" si="643"/>
        <v>Socio 4</v>
      </c>
      <c r="B843" s="166"/>
      <c r="C843" s="80" t="str">
        <f t="shared" si="644"/>
        <v>n/a</v>
      </c>
      <c r="D843" s="166" t="s">
        <v>93</v>
      </c>
      <c r="E843" s="80" t="str">
        <f t="shared" si="645"/>
        <v>n/a</v>
      </c>
      <c r="F843" s="212">
        <v>0</v>
      </c>
      <c r="G843" s="212"/>
      <c r="H843" s="44"/>
      <c r="I843" s="44"/>
      <c r="J843" s="44"/>
      <c r="K843" s="44"/>
      <c r="L843" s="44"/>
      <c r="M843" s="44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3.5" customHeight="1" outlineLevel="1" x14ac:dyDescent="0.3">
      <c r="A844" s="166" t="str">
        <f t="shared" si="643"/>
        <v>Socio 5</v>
      </c>
      <c r="B844" s="166"/>
      <c r="C844" s="80" t="str">
        <f t="shared" si="644"/>
        <v>n/a</v>
      </c>
      <c r="D844" s="166" t="s">
        <v>93</v>
      </c>
      <c r="E844" s="80" t="str">
        <f t="shared" si="645"/>
        <v>n/a</v>
      </c>
      <c r="F844" s="212">
        <v>0</v>
      </c>
      <c r="G844" s="212"/>
      <c r="H844" s="44"/>
      <c r="I844" s="44"/>
      <c r="J844" s="44"/>
      <c r="K844" s="44"/>
      <c r="L844" s="44"/>
      <c r="M844" s="44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3.5" customHeight="1" outlineLevel="1" x14ac:dyDescent="0.3">
      <c r="A845" s="213" t="s">
        <v>575</v>
      </c>
      <c r="B845" s="215"/>
      <c r="C845" s="61">
        <f>SUM(C840:C844)</f>
        <v>0</v>
      </c>
      <c r="D845" s="213" t="s">
        <v>93</v>
      </c>
      <c r="E845" s="61">
        <f t="shared" ref="E845:F845" si="646">SUM(E840:E844)</f>
        <v>0</v>
      </c>
      <c r="F845" s="51">
        <f t="shared" si="646"/>
        <v>0</v>
      </c>
      <c r="G845" s="51"/>
      <c r="H845" s="51">
        <f t="shared" ref="H845:M845" si="647">SUM(H840:H844)</f>
        <v>0</v>
      </c>
      <c r="I845" s="51">
        <f t="shared" si="647"/>
        <v>0</v>
      </c>
      <c r="J845" s="51">
        <f t="shared" si="647"/>
        <v>0</v>
      </c>
      <c r="K845" s="51">
        <f t="shared" si="647"/>
        <v>0</v>
      </c>
      <c r="L845" s="51">
        <f t="shared" si="647"/>
        <v>0</v>
      </c>
      <c r="M845" s="51">
        <f t="shared" si="647"/>
        <v>0</v>
      </c>
      <c r="N845" s="188"/>
      <c r="O845" s="188"/>
      <c r="P845" s="188"/>
      <c r="Q845" s="188"/>
      <c r="R845" s="188"/>
      <c r="S845" s="188"/>
      <c r="T845" s="188"/>
      <c r="U845" s="188"/>
      <c r="V845" s="188"/>
      <c r="W845" s="188"/>
      <c r="X845" s="188"/>
      <c r="Y845" s="188"/>
      <c r="Z845" s="188"/>
    </row>
    <row r="846" spans="1:26" ht="13.5" customHeight="1" outlineLevel="1" x14ac:dyDescent="0.3">
      <c r="A846" s="54" t="str">
        <f>"TOTALE "&amp;A827</f>
        <v>TOTALE VARIAZIONE MEZZI PROPRI (EQUITY)</v>
      </c>
      <c r="B846" s="54"/>
      <c r="C846" s="54"/>
      <c r="D846" s="54" t="s">
        <v>93</v>
      </c>
      <c r="E846" s="56"/>
      <c r="F846" s="56">
        <f t="shared" ref="F846:F851" si="648">SUM(H846:L846)</f>
        <v>773</v>
      </c>
      <c r="G846" s="56"/>
      <c r="H846" s="56">
        <f t="shared" ref="H846:M846" si="649">H833+H839+H845</f>
        <v>773</v>
      </c>
      <c r="I846" s="56">
        <f t="shared" si="649"/>
        <v>0</v>
      </c>
      <c r="J846" s="56">
        <f t="shared" si="649"/>
        <v>0</v>
      </c>
      <c r="K846" s="56">
        <f t="shared" si="649"/>
        <v>0</v>
      </c>
      <c r="L846" s="56">
        <f t="shared" si="649"/>
        <v>0</v>
      </c>
      <c r="M846" s="56">
        <f t="shared" si="649"/>
        <v>0</v>
      </c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3.5" customHeight="1" outlineLevel="1" x14ac:dyDescent="0.3">
      <c r="A847" s="35" t="str">
        <f t="shared" ref="A847:A851" si="650">"di cui "&amp;A828</f>
        <v>di cui Socio 1</v>
      </c>
      <c r="B847" s="35"/>
      <c r="C847" s="35"/>
      <c r="D847" s="166" t="s">
        <v>93</v>
      </c>
      <c r="E847" s="80">
        <f t="shared" ref="E847:E851" si="651">IF(F$846&lt;&gt;0,F847/F$846,"n/a")</f>
        <v>0</v>
      </c>
      <c r="F847" s="45">
        <f t="shared" si="648"/>
        <v>0</v>
      </c>
      <c r="G847" s="45"/>
      <c r="H847" s="46">
        <f t="shared" ref="H847:M847" si="652">H828+H834+H840</f>
        <v>0</v>
      </c>
      <c r="I847" s="46">
        <f t="shared" si="652"/>
        <v>0</v>
      </c>
      <c r="J847" s="46">
        <f t="shared" si="652"/>
        <v>0</v>
      </c>
      <c r="K847" s="46">
        <f t="shared" si="652"/>
        <v>0</v>
      </c>
      <c r="L847" s="46">
        <f t="shared" si="652"/>
        <v>0</v>
      </c>
      <c r="M847" s="46">
        <f t="shared" si="652"/>
        <v>0</v>
      </c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3.5" customHeight="1" outlineLevel="1" x14ac:dyDescent="0.3">
      <c r="A848" s="35" t="str">
        <f t="shared" si="650"/>
        <v>di cui Socio 2</v>
      </c>
      <c r="B848" s="35"/>
      <c r="C848" s="35"/>
      <c r="D848" s="166" t="s">
        <v>93</v>
      </c>
      <c r="E848" s="80">
        <f t="shared" si="651"/>
        <v>0.32341526520051744</v>
      </c>
      <c r="F848" s="45">
        <f t="shared" si="648"/>
        <v>250</v>
      </c>
      <c r="G848" s="45"/>
      <c r="H848" s="46">
        <f t="shared" ref="H848:M848" si="653">H829+H835+H841</f>
        <v>250</v>
      </c>
      <c r="I848" s="46">
        <f t="shared" si="653"/>
        <v>0</v>
      </c>
      <c r="J848" s="46">
        <f t="shared" si="653"/>
        <v>0</v>
      </c>
      <c r="K848" s="46">
        <f t="shared" si="653"/>
        <v>0</v>
      </c>
      <c r="L848" s="46">
        <f t="shared" si="653"/>
        <v>0</v>
      </c>
      <c r="M848" s="46">
        <f t="shared" si="653"/>
        <v>0</v>
      </c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3.5" customHeight="1" outlineLevel="1" x14ac:dyDescent="0.3">
      <c r="A849" s="35" t="str">
        <f t="shared" si="650"/>
        <v>di cui Socio 3</v>
      </c>
      <c r="B849" s="35"/>
      <c r="C849" s="35"/>
      <c r="D849" s="166" t="s">
        <v>93</v>
      </c>
      <c r="E849" s="80">
        <f t="shared" si="651"/>
        <v>0.67658473479948256</v>
      </c>
      <c r="F849" s="45">
        <f t="shared" si="648"/>
        <v>523</v>
      </c>
      <c r="G849" s="45"/>
      <c r="H849" s="46">
        <f t="shared" ref="H849:M849" si="654">H830+H836+H842</f>
        <v>523</v>
      </c>
      <c r="I849" s="46">
        <f t="shared" si="654"/>
        <v>0</v>
      </c>
      <c r="J849" s="46">
        <f t="shared" si="654"/>
        <v>0</v>
      </c>
      <c r="K849" s="46">
        <f t="shared" si="654"/>
        <v>0</v>
      </c>
      <c r="L849" s="46">
        <f t="shared" si="654"/>
        <v>0</v>
      </c>
      <c r="M849" s="46">
        <f t="shared" si="654"/>
        <v>0</v>
      </c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3.5" customHeight="1" outlineLevel="1" x14ac:dyDescent="0.3">
      <c r="A850" s="35" t="str">
        <f t="shared" si="650"/>
        <v>di cui Socio 4</v>
      </c>
      <c r="B850" s="35"/>
      <c r="C850" s="35"/>
      <c r="D850" s="166" t="s">
        <v>93</v>
      </c>
      <c r="E850" s="80">
        <f t="shared" si="651"/>
        <v>0</v>
      </c>
      <c r="F850" s="45">
        <f t="shared" si="648"/>
        <v>0</v>
      </c>
      <c r="G850" s="45"/>
      <c r="H850" s="46">
        <f t="shared" ref="H850:M850" si="655">H831+H837+H843</f>
        <v>0</v>
      </c>
      <c r="I850" s="46">
        <f t="shared" si="655"/>
        <v>0</v>
      </c>
      <c r="J850" s="46">
        <f t="shared" si="655"/>
        <v>0</v>
      </c>
      <c r="K850" s="46">
        <f t="shared" si="655"/>
        <v>0</v>
      </c>
      <c r="L850" s="46">
        <f t="shared" si="655"/>
        <v>0</v>
      </c>
      <c r="M850" s="46">
        <f t="shared" si="655"/>
        <v>0</v>
      </c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3.5" customHeight="1" outlineLevel="1" x14ac:dyDescent="0.3">
      <c r="A851" s="35" t="str">
        <f t="shared" si="650"/>
        <v>di cui Socio 5</v>
      </c>
      <c r="B851" s="35"/>
      <c r="C851" s="35"/>
      <c r="D851" s="166" t="s">
        <v>93</v>
      </c>
      <c r="E851" s="80">
        <f t="shared" si="651"/>
        <v>0</v>
      </c>
      <c r="F851" s="45">
        <f t="shared" si="648"/>
        <v>0</v>
      </c>
      <c r="G851" s="45"/>
      <c r="H851" s="46">
        <f t="shared" ref="H851:M851" si="656">H832+H838+H844</f>
        <v>0</v>
      </c>
      <c r="I851" s="46">
        <f t="shared" si="656"/>
        <v>0</v>
      </c>
      <c r="J851" s="46">
        <f t="shared" si="656"/>
        <v>0</v>
      </c>
      <c r="K851" s="46">
        <f t="shared" si="656"/>
        <v>0</v>
      </c>
      <c r="L851" s="46">
        <f t="shared" si="656"/>
        <v>0</v>
      </c>
      <c r="M851" s="46">
        <f t="shared" si="656"/>
        <v>0</v>
      </c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3.5" customHeight="1" outlineLevel="1" x14ac:dyDescent="0.3">
      <c r="A852" s="35"/>
      <c r="B852" s="35"/>
      <c r="C852" s="35"/>
      <c r="D852" s="35"/>
      <c r="E852" s="36"/>
      <c r="F852" s="107"/>
      <c r="G852" s="107"/>
      <c r="H852" s="46"/>
      <c r="I852" s="46"/>
      <c r="J852" s="46"/>
      <c r="K852" s="46"/>
      <c r="L852" s="46"/>
      <c r="M852" s="46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3.5" customHeight="1" outlineLevel="1" x14ac:dyDescent="0.3">
      <c r="A853" s="35"/>
      <c r="B853" s="35"/>
      <c r="C853" s="35"/>
      <c r="D853" s="35"/>
      <c r="E853" s="37"/>
      <c r="F853" s="36"/>
      <c r="G853" s="36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3.5" customHeight="1" outlineLevel="1" x14ac:dyDescent="0.3">
      <c r="A854" s="94"/>
      <c r="B854" s="94"/>
      <c r="C854" s="94"/>
      <c r="D854" s="94"/>
      <c r="E854" s="95"/>
      <c r="F854" s="96"/>
      <c r="G854" s="96"/>
      <c r="H854" s="95"/>
      <c r="I854" s="95"/>
      <c r="J854" s="95"/>
      <c r="K854" s="95"/>
      <c r="L854" s="95"/>
      <c r="M854" s="95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3.5" customHeight="1" outlineLevel="1" x14ac:dyDescent="0.3">
      <c r="A855" s="35"/>
      <c r="B855" s="35"/>
      <c r="C855" s="35"/>
      <c r="D855" s="35"/>
      <c r="E855" s="37"/>
      <c r="F855" s="36"/>
      <c r="G855" s="36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3.5" customHeight="1" outlineLevel="1" x14ac:dyDescent="0.3">
      <c r="A856" s="64" t="s">
        <v>576</v>
      </c>
      <c r="B856" s="65"/>
      <c r="C856" s="65"/>
      <c r="D856" s="65"/>
      <c r="E856" s="66"/>
      <c r="F856" s="67"/>
      <c r="G856" s="67"/>
      <c r="H856" s="66"/>
      <c r="I856" s="66"/>
      <c r="J856" s="66"/>
      <c r="K856" s="66"/>
      <c r="L856" s="66"/>
      <c r="M856" s="66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3.5" customHeight="1" outlineLevel="1" x14ac:dyDescent="0.3">
      <c r="A857" s="35"/>
      <c r="B857" s="35"/>
      <c r="C857" s="35"/>
      <c r="D857" s="35"/>
      <c r="E857" s="3"/>
      <c r="F857" s="37"/>
      <c r="G857" s="37"/>
      <c r="H857" s="154">
        <v>1</v>
      </c>
      <c r="I857" s="154">
        <v>2</v>
      </c>
      <c r="J857" s="154">
        <v>3</v>
      </c>
      <c r="K857" s="154">
        <v>4</v>
      </c>
      <c r="L857" s="154">
        <v>5</v>
      </c>
      <c r="M857" s="154">
        <v>5</v>
      </c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3.5" customHeight="1" outlineLevel="1" x14ac:dyDescent="0.3">
      <c r="A858" s="152"/>
      <c r="B858" s="152"/>
      <c r="C858" s="152"/>
      <c r="D858" s="35"/>
      <c r="E858" s="36"/>
      <c r="F858" s="36" t="s">
        <v>163</v>
      </c>
      <c r="G858" s="36"/>
      <c r="H858" s="37" t="s">
        <v>81</v>
      </c>
      <c r="I858" s="37" t="s">
        <v>82</v>
      </c>
      <c r="J858" s="37" t="s">
        <v>83</v>
      </c>
      <c r="K858" s="37" t="s">
        <v>84</v>
      </c>
      <c r="L858" s="37" t="s">
        <v>85</v>
      </c>
      <c r="M858" s="37" t="s">
        <v>86</v>
      </c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3.5" customHeight="1" outlineLevel="1" x14ac:dyDescent="0.3">
      <c r="A859" s="40" t="s">
        <v>576</v>
      </c>
      <c r="B859" s="39"/>
      <c r="C859" s="39"/>
      <c r="D859" s="40" t="str">
        <f>D$58</f>
        <v>Misura</v>
      </c>
      <c r="E859" s="39" t="s">
        <v>115</v>
      </c>
      <c r="F859" s="39" t="s">
        <v>142</v>
      </c>
      <c r="G859" s="39"/>
      <c r="H859" s="57">
        <f t="shared" ref="H859:M859" si="657">H$58</f>
        <v>2022</v>
      </c>
      <c r="I859" s="57">
        <f t="shared" si="657"/>
        <v>2023</v>
      </c>
      <c r="J859" s="57">
        <f t="shared" si="657"/>
        <v>2024</v>
      </c>
      <c r="K859" s="57">
        <f t="shared" si="657"/>
        <v>2025</v>
      </c>
      <c r="L859" s="57">
        <f t="shared" si="657"/>
        <v>2026</v>
      </c>
      <c r="M859" s="57">
        <f t="shared" si="657"/>
        <v>2027</v>
      </c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3.5" customHeight="1" outlineLevel="1" x14ac:dyDescent="0.3">
      <c r="A860" s="43" t="s">
        <v>491</v>
      </c>
      <c r="B860" s="43"/>
      <c r="C860" s="43"/>
      <c r="D860" s="43" t="s">
        <v>93</v>
      </c>
      <c r="E860" s="46"/>
      <c r="F860" s="37">
        <f t="shared" ref="F860:F863" si="658">SUM(H860:L860)</f>
        <v>24784.664862663369</v>
      </c>
      <c r="G860" s="37"/>
      <c r="H860" s="37">
        <f t="shared" ref="H860:M860" si="659">H703</f>
        <v>467.13394230152386</v>
      </c>
      <c r="I860" s="37">
        <f t="shared" si="659"/>
        <v>2109.7099351766424</v>
      </c>
      <c r="J860" s="37">
        <f t="shared" si="659"/>
        <v>3996.4725050703805</v>
      </c>
      <c r="K860" s="37">
        <f t="shared" si="659"/>
        <v>6790.6847852954434</v>
      </c>
      <c r="L860" s="37">
        <f t="shared" si="659"/>
        <v>11420.663694819377</v>
      </c>
      <c r="M860" s="37">
        <f t="shared" si="659"/>
        <v>12350.084428285458</v>
      </c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3.5" customHeight="1" outlineLevel="1" x14ac:dyDescent="0.3">
      <c r="A861" s="35" t="s">
        <v>506</v>
      </c>
      <c r="B861" s="35"/>
      <c r="C861" s="35"/>
      <c r="D861" s="43" t="s">
        <v>93</v>
      </c>
      <c r="E861" s="46"/>
      <c r="F861" s="37">
        <f t="shared" si="658"/>
        <v>-9395.435766806193</v>
      </c>
      <c r="G861" s="37"/>
      <c r="H861" s="37">
        <f>-(H795-F795)-(H797-F797)</f>
        <v>-507.08752383333331</v>
      </c>
      <c r="I861" s="37">
        <f t="shared" ref="I861:M861" si="660">-(I795-H795)-(I797-H797)</f>
        <v>-1149.4222503416663</v>
      </c>
      <c r="J861" s="37">
        <f t="shared" si="660"/>
        <v>-1610.0383524277754</v>
      </c>
      <c r="K861" s="37">
        <f t="shared" si="660"/>
        <v>-2673.4378334826438</v>
      </c>
      <c r="L861" s="37">
        <f t="shared" si="660"/>
        <v>-3455.4498067207742</v>
      </c>
      <c r="M861" s="37">
        <f t="shared" si="660"/>
        <v>-902.90246593338816</v>
      </c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3.5" customHeight="1" outlineLevel="1" x14ac:dyDescent="0.3">
      <c r="A862" s="35" t="s">
        <v>512</v>
      </c>
      <c r="B862" s="35"/>
      <c r="C862" s="35"/>
      <c r="D862" s="43" t="s">
        <v>93</v>
      </c>
      <c r="E862" s="46"/>
      <c r="F862" s="37">
        <f t="shared" si="658"/>
        <v>6181.6458991024037</v>
      </c>
      <c r="G862" s="37"/>
      <c r="H862" s="37">
        <f>(H804-F804)+(H802-F802)+(H803-F803)+(H807-F807)+(H810-F810)</f>
        <v>305.53353760100805</v>
      </c>
      <c r="I862" s="37">
        <f t="shared" ref="I862:M862" si="661">(I804-H804)+(I802-H802)+(I803-H803)+(I807-H807)+(I810-H810)</f>
        <v>734.15278030286049</v>
      </c>
      <c r="J862" s="37">
        <f t="shared" si="661"/>
        <v>891.8857708777773</v>
      </c>
      <c r="K862" s="37">
        <f t="shared" si="661"/>
        <v>1608.9473077170071</v>
      </c>
      <c r="L862" s="37">
        <f t="shared" si="661"/>
        <v>2641.1265026037509</v>
      </c>
      <c r="M862" s="37">
        <f t="shared" si="661"/>
        <v>813.73859007513124</v>
      </c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3.5" customHeight="1" outlineLevel="1" x14ac:dyDescent="0.3">
      <c r="A863" s="170" t="s">
        <v>577</v>
      </c>
      <c r="B863" s="170"/>
      <c r="C863" s="170"/>
      <c r="D863" s="47" t="s">
        <v>93</v>
      </c>
      <c r="E863" s="51"/>
      <c r="F863" s="157">
        <f t="shared" si="658"/>
        <v>21570.874994959577</v>
      </c>
      <c r="G863" s="157"/>
      <c r="H863" s="157">
        <f t="shared" ref="H863:M863" si="662">SUM(H860:H862)</f>
        <v>265.5799560691986</v>
      </c>
      <c r="I863" s="157">
        <f t="shared" si="662"/>
        <v>1694.4404651378366</v>
      </c>
      <c r="J863" s="157">
        <f t="shared" si="662"/>
        <v>3278.3199235203824</v>
      </c>
      <c r="K863" s="157">
        <f t="shared" si="662"/>
        <v>5726.1942595298069</v>
      </c>
      <c r="L863" s="157">
        <f t="shared" si="662"/>
        <v>10606.340390702353</v>
      </c>
      <c r="M863" s="157">
        <f t="shared" si="662"/>
        <v>12260.9205524272</v>
      </c>
      <c r="N863" s="157"/>
      <c r="O863" s="157"/>
      <c r="P863" s="157"/>
      <c r="Q863" s="157"/>
      <c r="R863" s="157"/>
      <c r="S863" s="157"/>
      <c r="T863" s="157"/>
      <c r="U863" s="157"/>
      <c r="V863" s="157"/>
      <c r="W863" s="157"/>
      <c r="X863" s="157"/>
      <c r="Y863" s="157"/>
      <c r="Z863" s="157"/>
    </row>
    <row r="864" spans="1:26" ht="13.5" customHeight="1" outlineLevel="1" x14ac:dyDescent="0.3">
      <c r="A864" s="35"/>
      <c r="B864" s="35"/>
      <c r="C864" s="35"/>
      <c r="D864" s="35"/>
      <c r="E864" s="37"/>
      <c r="F864" s="36"/>
      <c r="G864" s="36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3.5" customHeight="1" outlineLevel="1" x14ac:dyDescent="0.3">
      <c r="A865" s="35"/>
      <c r="B865" s="35"/>
      <c r="C865" s="35"/>
      <c r="D865" s="35"/>
      <c r="E865" s="37"/>
      <c r="F865" s="36"/>
      <c r="G865" s="36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3.5" customHeight="1" outlineLevel="1" x14ac:dyDescent="0.3">
      <c r="A866" s="170" t="s">
        <v>578</v>
      </c>
      <c r="B866" s="170"/>
      <c r="C866" s="170"/>
      <c r="D866" s="47" t="s">
        <v>93</v>
      </c>
      <c r="E866" s="51"/>
      <c r="F866" s="157">
        <f>SUM(H866:L866)</f>
        <v>21570.874994959577</v>
      </c>
      <c r="G866" s="157"/>
      <c r="H866" s="157">
        <f t="shared" ref="H866:M866" si="663">SUM(H863)</f>
        <v>265.5799560691986</v>
      </c>
      <c r="I866" s="157">
        <f t="shared" si="663"/>
        <v>1694.4404651378366</v>
      </c>
      <c r="J866" s="157">
        <f t="shared" si="663"/>
        <v>3278.3199235203824</v>
      </c>
      <c r="K866" s="157">
        <f t="shared" si="663"/>
        <v>5726.1942595298069</v>
      </c>
      <c r="L866" s="157">
        <f t="shared" si="663"/>
        <v>10606.340390702353</v>
      </c>
      <c r="M866" s="157">
        <f t="shared" si="663"/>
        <v>12260.9205524272</v>
      </c>
      <c r="N866" s="157"/>
      <c r="O866" s="157"/>
      <c r="P866" s="157"/>
      <c r="Q866" s="157"/>
      <c r="R866" s="157"/>
      <c r="S866" s="157"/>
      <c r="T866" s="157"/>
      <c r="U866" s="157"/>
      <c r="V866" s="157"/>
      <c r="W866" s="157"/>
      <c r="X866" s="157"/>
      <c r="Y866" s="157"/>
      <c r="Z866" s="157"/>
    </row>
    <row r="867" spans="1:26" ht="13.5" customHeight="1" outlineLevel="1" x14ac:dyDescent="0.3">
      <c r="A867" s="167"/>
      <c r="B867" s="167"/>
      <c r="C867" s="167"/>
      <c r="D867" s="63"/>
      <c r="E867" s="45"/>
      <c r="F867" s="37"/>
      <c r="G867" s="37"/>
      <c r="H867" s="37"/>
      <c r="I867" s="37"/>
      <c r="J867" s="37"/>
      <c r="K867" s="37"/>
      <c r="L867" s="37"/>
      <c r="M867" s="37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3.5" customHeight="1" outlineLevel="1" x14ac:dyDescent="0.3">
      <c r="A868" s="35" t="s">
        <v>579</v>
      </c>
      <c r="B868" s="35"/>
      <c r="C868" s="35"/>
      <c r="D868" s="43" t="s">
        <v>93</v>
      </c>
      <c r="E868" s="46"/>
      <c r="F868" s="37">
        <f t="shared" ref="F868:F870" si="664">SUM(H868:L868)</f>
        <v>-19163.326506020043</v>
      </c>
      <c r="G868" s="37"/>
      <c r="H868" s="37">
        <f t="shared" ref="H868:M868" si="665">-H537-H546</f>
        <v>-2060.3185393777644</v>
      </c>
      <c r="I868" s="37">
        <f t="shared" si="665"/>
        <v>-2653.0614550887576</v>
      </c>
      <c r="J868" s="37">
        <f t="shared" si="665"/>
        <v>-2595.8405051602067</v>
      </c>
      <c r="K868" s="37">
        <f t="shared" si="665"/>
        <v>-4121.3424746200262</v>
      </c>
      <c r="L868" s="37">
        <f t="shared" si="665"/>
        <v>-7732.7635317732866</v>
      </c>
      <c r="M868" s="37">
        <f t="shared" si="665"/>
        <v>-1396.4670954764651</v>
      </c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3.5" customHeight="1" outlineLevel="1" x14ac:dyDescent="0.3">
      <c r="A869" s="35" t="s">
        <v>580</v>
      </c>
      <c r="B869" s="35"/>
      <c r="C869" s="35"/>
      <c r="D869" s="43" t="s">
        <v>93</v>
      </c>
      <c r="E869" s="46"/>
      <c r="F869" s="37">
        <f t="shared" si="664"/>
        <v>0</v>
      </c>
      <c r="G869" s="37"/>
      <c r="H869" s="37">
        <f t="shared" ref="H869:M869" si="666">-H583</f>
        <v>0</v>
      </c>
      <c r="I869" s="37">
        <f t="shared" si="666"/>
        <v>0</v>
      </c>
      <c r="J869" s="37">
        <f t="shared" si="666"/>
        <v>0</v>
      </c>
      <c r="K869" s="37">
        <f t="shared" si="666"/>
        <v>0</v>
      </c>
      <c r="L869" s="37">
        <f t="shared" si="666"/>
        <v>0</v>
      </c>
      <c r="M869" s="37">
        <f t="shared" si="666"/>
        <v>0</v>
      </c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3.5" customHeight="1" outlineLevel="1" x14ac:dyDescent="0.3">
      <c r="A870" s="170" t="s">
        <v>581</v>
      </c>
      <c r="B870" s="170"/>
      <c r="C870" s="170"/>
      <c r="D870" s="47" t="s">
        <v>93</v>
      </c>
      <c r="E870" s="51"/>
      <c r="F870" s="157">
        <f t="shared" si="664"/>
        <v>-19163.326506020043</v>
      </c>
      <c r="G870" s="157"/>
      <c r="H870" s="157">
        <f t="shared" ref="H870:M870" si="667">SUM(H868:H869)</f>
        <v>-2060.3185393777644</v>
      </c>
      <c r="I870" s="157">
        <f t="shared" si="667"/>
        <v>-2653.0614550887576</v>
      </c>
      <c r="J870" s="157">
        <f t="shared" si="667"/>
        <v>-2595.8405051602067</v>
      </c>
      <c r="K870" s="157">
        <f t="shared" si="667"/>
        <v>-4121.3424746200262</v>
      </c>
      <c r="L870" s="157">
        <f t="shared" si="667"/>
        <v>-7732.7635317732866</v>
      </c>
      <c r="M870" s="157">
        <f t="shared" si="667"/>
        <v>-1396.4670954764651</v>
      </c>
      <c r="N870" s="157"/>
      <c r="O870" s="157"/>
      <c r="P870" s="157"/>
      <c r="Q870" s="157"/>
      <c r="R870" s="157"/>
      <c r="S870" s="157"/>
      <c r="T870" s="157"/>
      <c r="U870" s="157"/>
      <c r="V870" s="157"/>
      <c r="W870" s="157"/>
      <c r="X870" s="157"/>
      <c r="Y870" s="157"/>
      <c r="Z870" s="157"/>
    </row>
    <row r="871" spans="1:26" ht="13.5" customHeight="1" outlineLevel="1" x14ac:dyDescent="0.3">
      <c r="A871" s="170"/>
      <c r="B871" s="170"/>
      <c r="C871" s="170"/>
      <c r="D871" s="47"/>
      <c r="E871" s="51"/>
      <c r="F871" s="157"/>
      <c r="G871" s="157"/>
      <c r="H871" s="157"/>
      <c r="I871" s="157"/>
      <c r="J871" s="157"/>
      <c r="K871" s="157"/>
      <c r="L871" s="157"/>
      <c r="M871" s="157"/>
      <c r="N871" s="157"/>
      <c r="O871" s="157"/>
      <c r="P871" s="157"/>
      <c r="Q871" s="157"/>
      <c r="R871" s="157"/>
      <c r="S871" s="157"/>
      <c r="T871" s="157"/>
      <c r="U871" s="157"/>
      <c r="V871" s="157"/>
      <c r="W871" s="157"/>
      <c r="X871" s="157"/>
      <c r="Y871" s="157"/>
      <c r="Z871" s="157"/>
    </row>
    <row r="872" spans="1:26" ht="13.5" customHeight="1" outlineLevel="1" x14ac:dyDescent="0.3">
      <c r="A872" s="155" t="s">
        <v>582</v>
      </c>
      <c r="B872" s="155"/>
      <c r="C872" s="155"/>
      <c r="D872" s="54" t="s">
        <v>93</v>
      </c>
      <c r="E872" s="56"/>
      <c r="F872" s="156">
        <f>SUM(H872:L872)</f>
        <v>2407.5484889395361</v>
      </c>
      <c r="G872" s="156"/>
      <c r="H872" s="156">
        <f t="shared" ref="H872:M872" si="668">H866+H870</f>
        <v>-1794.7385833085659</v>
      </c>
      <c r="I872" s="156">
        <f t="shared" si="668"/>
        <v>-958.62098995092106</v>
      </c>
      <c r="J872" s="156">
        <f t="shared" si="668"/>
        <v>682.47941836017571</v>
      </c>
      <c r="K872" s="156">
        <f t="shared" si="668"/>
        <v>1604.8517849097807</v>
      </c>
      <c r="L872" s="156">
        <f t="shared" si="668"/>
        <v>2873.5768589290665</v>
      </c>
      <c r="M872" s="156">
        <f t="shared" si="668"/>
        <v>10864.453456950734</v>
      </c>
      <c r="N872" s="157"/>
      <c r="O872" s="157"/>
      <c r="P872" s="157"/>
      <c r="Q872" s="157"/>
      <c r="R872" s="157"/>
      <c r="S872" s="157"/>
      <c r="T872" s="157"/>
      <c r="U872" s="157"/>
      <c r="V872" s="157"/>
      <c r="W872" s="157"/>
      <c r="X872" s="157"/>
      <c r="Y872" s="157"/>
      <c r="Z872" s="157"/>
    </row>
    <row r="873" spans="1:26" ht="13.5" customHeight="1" outlineLevel="1" x14ac:dyDescent="0.3">
      <c r="A873" s="155"/>
      <c r="B873" s="155"/>
      <c r="C873" s="155"/>
      <c r="D873" s="54"/>
      <c r="E873" s="56"/>
      <c r="F873" s="156"/>
      <c r="G873" s="156"/>
      <c r="H873" s="156"/>
      <c r="I873" s="156"/>
      <c r="J873" s="156"/>
      <c r="K873" s="156"/>
      <c r="L873" s="156"/>
      <c r="M873" s="156"/>
      <c r="N873" s="157"/>
      <c r="O873" s="157"/>
      <c r="P873" s="157"/>
      <c r="Q873" s="157"/>
      <c r="R873" s="157"/>
      <c r="S873" s="157"/>
      <c r="T873" s="157"/>
      <c r="U873" s="157"/>
      <c r="V873" s="157"/>
      <c r="W873" s="157"/>
      <c r="X873" s="157"/>
      <c r="Y873" s="157"/>
      <c r="Z873" s="157"/>
    </row>
    <row r="874" spans="1:26" ht="13.5" customHeight="1" outlineLevel="1" x14ac:dyDescent="0.3">
      <c r="A874" s="35" t="s">
        <v>583</v>
      </c>
      <c r="B874" s="35"/>
      <c r="C874" s="35"/>
      <c r="D874" s="43" t="s">
        <v>93</v>
      </c>
      <c r="E874" s="46"/>
      <c r="F874" s="37">
        <f t="shared" ref="F874:F880" si="669">SUM(H874:L874)</f>
        <v>-4897.6992686682079</v>
      </c>
      <c r="G874" s="37"/>
      <c r="H874" s="37">
        <f t="shared" ref="H874:M874" si="670">-H715</f>
        <v>-70.162776623542129</v>
      </c>
      <c r="I874" s="37">
        <f t="shared" si="670"/>
        <v>-400.18656654435097</v>
      </c>
      <c r="J874" s="37">
        <f t="shared" si="670"/>
        <v>-787.71463563138923</v>
      </c>
      <c r="K874" s="37">
        <f t="shared" si="670"/>
        <v>-1356.6603922932441</v>
      </c>
      <c r="L874" s="37">
        <f t="shared" si="670"/>
        <v>-2282.9748975756816</v>
      </c>
      <c r="M874" s="37">
        <f t="shared" si="670"/>
        <v>-2496.7416662728801</v>
      </c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3.5" customHeight="1" outlineLevel="1" x14ac:dyDescent="0.3">
      <c r="A875" s="35" t="s">
        <v>584</v>
      </c>
      <c r="B875" s="35"/>
      <c r="C875" s="35"/>
      <c r="D875" s="43" t="s">
        <v>93</v>
      </c>
      <c r="E875" s="46"/>
      <c r="F875" s="37">
        <f t="shared" si="669"/>
        <v>-511.8663153640025</v>
      </c>
      <c r="G875" s="37"/>
      <c r="H875" s="37">
        <f t="shared" ref="H875:M875" si="671">-H711+H710</f>
        <v>-24.723822472533172</v>
      </c>
      <c r="I875" s="37">
        <f t="shared" si="671"/>
        <v>-55.543008541116492</v>
      </c>
      <c r="J875" s="37">
        <f t="shared" si="671"/>
        <v>-84.344896552993646</v>
      </c>
      <c r="K875" s="37">
        <f t="shared" si="671"/>
        <v>-130.12380892575862</v>
      </c>
      <c r="L875" s="37">
        <f t="shared" si="671"/>
        <v>-217.13077887160057</v>
      </c>
      <c r="M875" s="37">
        <f t="shared" si="671"/>
        <v>-217.13077887160057</v>
      </c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3.5" customHeight="1" outlineLevel="1" x14ac:dyDescent="0.3">
      <c r="A876" s="35" t="s">
        <v>585</v>
      </c>
      <c r="B876" s="35"/>
      <c r="C876" s="35"/>
      <c r="D876" s="43" t="s">
        <v>93</v>
      </c>
      <c r="E876" s="46"/>
      <c r="F876" s="37">
        <f t="shared" si="669"/>
        <v>0</v>
      </c>
      <c r="G876" s="37"/>
      <c r="H876" s="37">
        <f t="shared" ref="H876:M876" si="672">-H780</f>
        <v>0</v>
      </c>
      <c r="I876" s="37">
        <f t="shared" si="672"/>
        <v>0</v>
      </c>
      <c r="J876" s="37">
        <f t="shared" si="672"/>
        <v>0</v>
      </c>
      <c r="K876" s="37">
        <f t="shared" si="672"/>
        <v>0</v>
      </c>
      <c r="L876" s="37">
        <f t="shared" si="672"/>
        <v>0</v>
      </c>
      <c r="M876" s="37">
        <f t="shared" si="672"/>
        <v>0</v>
      </c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3.5" customHeight="1" outlineLevel="1" x14ac:dyDescent="0.3">
      <c r="A877" s="35" t="s">
        <v>586</v>
      </c>
      <c r="B877" s="35"/>
      <c r="C877" s="35"/>
      <c r="D877" s="43" t="s">
        <v>93</v>
      </c>
      <c r="E877" s="46"/>
      <c r="F877" s="37">
        <f t="shared" si="669"/>
        <v>-1127.5058756433398</v>
      </c>
      <c r="G877" s="37"/>
      <c r="H877" s="37">
        <f>(H809-F809)-H879</f>
        <v>-50.877569624088437</v>
      </c>
      <c r="I877" s="37">
        <f t="shared" ref="I877:M877" si="673">(I809-H809)-I879</f>
        <v>-117.40990250226673</v>
      </c>
      <c r="J877" s="37">
        <f t="shared" si="673"/>
        <v>-183.85986613376576</v>
      </c>
      <c r="K877" s="37">
        <f t="shared" si="673"/>
        <v>-289.30962177187621</v>
      </c>
      <c r="L877" s="37">
        <f t="shared" si="673"/>
        <v>-486.04891561134264</v>
      </c>
      <c r="M877" s="37">
        <f t="shared" si="673"/>
        <v>-486.04891561134593</v>
      </c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3.5" customHeight="1" outlineLevel="1" x14ac:dyDescent="0.3">
      <c r="A878" s="35" t="s">
        <v>587</v>
      </c>
      <c r="B878" s="35"/>
      <c r="C878" s="35"/>
      <c r="D878" s="43" t="s">
        <v>93</v>
      </c>
      <c r="E878" s="46"/>
      <c r="F878" s="37">
        <f t="shared" si="669"/>
        <v>773</v>
      </c>
      <c r="G878" s="37"/>
      <c r="H878" s="37">
        <f t="shared" ref="H878:M878" si="674">H846</f>
        <v>773</v>
      </c>
      <c r="I878" s="37">
        <f t="shared" si="674"/>
        <v>0</v>
      </c>
      <c r="J878" s="37">
        <f t="shared" si="674"/>
        <v>0</v>
      </c>
      <c r="K878" s="37">
        <f t="shared" si="674"/>
        <v>0</v>
      </c>
      <c r="L878" s="37">
        <f t="shared" si="674"/>
        <v>0</v>
      </c>
      <c r="M878" s="37">
        <f t="shared" si="674"/>
        <v>0</v>
      </c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3.5" customHeight="1" outlineLevel="1" x14ac:dyDescent="0.3">
      <c r="A879" s="35" t="s">
        <v>588</v>
      </c>
      <c r="B879" s="35"/>
      <c r="C879" s="35"/>
      <c r="D879" s="43" t="s">
        <v>93</v>
      </c>
      <c r="E879" s="46"/>
      <c r="F879" s="37">
        <f t="shared" si="669"/>
        <v>11497.995903612024</v>
      </c>
      <c r="G879" s="37"/>
      <c r="H879" s="37">
        <f t="shared" ref="H879:M879" si="675">H625+H659</f>
        <v>1236.1911236266585</v>
      </c>
      <c r="I879" s="37">
        <f t="shared" si="675"/>
        <v>1591.8368730532545</v>
      </c>
      <c r="J879" s="37">
        <f t="shared" si="675"/>
        <v>1557.504303096124</v>
      </c>
      <c r="K879" s="37">
        <f t="shared" si="675"/>
        <v>2472.8054847720155</v>
      </c>
      <c r="L879" s="37">
        <f t="shared" si="675"/>
        <v>4639.6581190639718</v>
      </c>
      <c r="M879" s="37">
        <f t="shared" si="675"/>
        <v>837.88025728587911</v>
      </c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3.5" customHeight="1" outlineLevel="1" x14ac:dyDescent="0.3">
      <c r="A880" s="170" t="s">
        <v>589</v>
      </c>
      <c r="B880" s="170"/>
      <c r="C880" s="170"/>
      <c r="D880" s="47" t="s">
        <v>93</v>
      </c>
      <c r="E880" s="51"/>
      <c r="F880" s="157">
        <f t="shared" si="669"/>
        <v>5733.9244439364738</v>
      </c>
      <c r="G880" s="157"/>
      <c r="H880" s="157">
        <f t="shared" ref="H880:M880" si="676">SUM(H874:H879)</f>
        <v>1863.4269549064948</v>
      </c>
      <c r="I880" s="157">
        <f t="shared" si="676"/>
        <v>1018.6973954655203</v>
      </c>
      <c r="J880" s="157">
        <f t="shared" si="676"/>
        <v>501.58490477797545</v>
      </c>
      <c r="K880" s="157">
        <f t="shared" si="676"/>
        <v>696.71166178113663</v>
      </c>
      <c r="L880" s="157">
        <f t="shared" si="676"/>
        <v>1653.5035270053468</v>
      </c>
      <c r="M880" s="157">
        <f t="shared" si="676"/>
        <v>-2362.0411034699473</v>
      </c>
      <c r="N880" s="157"/>
      <c r="O880" s="157"/>
      <c r="P880" s="157"/>
      <c r="Q880" s="157"/>
      <c r="R880" s="157"/>
      <c r="S880" s="157"/>
      <c r="T880" s="157"/>
      <c r="U880" s="157"/>
      <c r="V880" s="157"/>
      <c r="W880" s="157"/>
      <c r="X880" s="157"/>
      <c r="Y880" s="157"/>
      <c r="Z880" s="157"/>
    </row>
    <row r="881" spans="1:26" ht="13.5" customHeight="1" outlineLevel="1" x14ac:dyDescent="0.3">
      <c r="A881" s="35"/>
      <c r="B881" s="35"/>
      <c r="C881" s="35"/>
      <c r="D881" s="35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3.5" customHeight="1" outlineLevel="1" x14ac:dyDescent="0.3">
      <c r="A882" s="155" t="s">
        <v>590</v>
      </c>
      <c r="B882" s="155"/>
      <c r="C882" s="155"/>
      <c r="D882" s="54" t="s">
        <v>93</v>
      </c>
      <c r="E882" s="156"/>
      <c r="F882" s="156">
        <f>SUM(H882:L882)</f>
        <v>8141.4729328760095</v>
      </c>
      <c r="G882" s="156"/>
      <c r="H882" s="156">
        <f t="shared" ref="H882:M882" si="677">H872+H880</f>
        <v>68.688371597928835</v>
      </c>
      <c r="I882" s="156">
        <f t="shared" si="677"/>
        <v>60.076405514599287</v>
      </c>
      <c r="J882" s="156">
        <f t="shared" si="677"/>
        <v>1184.0643231381512</v>
      </c>
      <c r="K882" s="156">
        <f t="shared" si="677"/>
        <v>2301.5634466909173</v>
      </c>
      <c r="L882" s="156">
        <f t="shared" si="677"/>
        <v>4527.0803859344132</v>
      </c>
      <c r="M882" s="156">
        <f t="shared" si="677"/>
        <v>8502.4123534807877</v>
      </c>
      <c r="N882" s="157"/>
      <c r="O882" s="157"/>
      <c r="P882" s="157"/>
      <c r="Q882" s="157"/>
      <c r="R882" s="157"/>
      <c r="S882" s="157"/>
      <c r="T882" s="157"/>
      <c r="U882" s="157"/>
      <c r="V882" s="157"/>
      <c r="W882" s="157"/>
      <c r="X882" s="157"/>
      <c r="Y882" s="157"/>
      <c r="Z882" s="157"/>
    </row>
    <row r="883" spans="1:26" ht="13.5" customHeight="1" outlineLevel="1" x14ac:dyDescent="0.3">
      <c r="A883" s="35"/>
      <c r="B883" s="35"/>
      <c r="C883" s="35"/>
      <c r="D883" s="35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3.5" customHeight="1" outlineLevel="1" x14ac:dyDescent="0.3">
      <c r="A884" s="167" t="s">
        <v>591</v>
      </c>
      <c r="B884" s="167"/>
      <c r="C884" s="167"/>
      <c r="D884" s="167"/>
      <c r="E884" s="36"/>
      <c r="F884" s="36"/>
      <c r="G884" s="36"/>
      <c r="H884" s="36">
        <f>F796-F806</f>
        <v>-80</v>
      </c>
      <c r="I884" s="36">
        <f t="shared" ref="I884:M884" si="678">H796-H806</f>
        <v>-11.311628402071165</v>
      </c>
      <c r="J884" s="36">
        <f t="shared" si="678"/>
        <v>48.764777112528463</v>
      </c>
      <c r="K884" s="36">
        <f t="shared" si="678"/>
        <v>1232.8291002506789</v>
      </c>
      <c r="L884" s="36">
        <f t="shared" si="678"/>
        <v>3534.3925469415963</v>
      </c>
      <c r="M884" s="36">
        <f t="shared" si="678"/>
        <v>8061.4729328760077</v>
      </c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3.5" customHeight="1" outlineLevel="1" x14ac:dyDescent="0.3">
      <c r="A885" s="167" t="s">
        <v>592</v>
      </c>
      <c r="B885" s="167"/>
      <c r="C885" s="167"/>
      <c r="D885" s="167"/>
      <c r="E885" s="36"/>
      <c r="F885" s="36"/>
      <c r="G885" s="36"/>
      <c r="H885" s="36">
        <f t="shared" ref="H885:M885" si="679">H882+H884</f>
        <v>-11.311628402071165</v>
      </c>
      <c r="I885" s="36">
        <f t="shared" si="679"/>
        <v>48.764777112528122</v>
      </c>
      <c r="J885" s="36">
        <f t="shared" si="679"/>
        <v>1232.8291002506796</v>
      </c>
      <c r="K885" s="36">
        <f t="shared" si="679"/>
        <v>3534.3925469415963</v>
      </c>
      <c r="L885" s="36">
        <f t="shared" si="679"/>
        <v>8061.4729328760095</v>
      </c>
      <c r="M885" s="36">
        <f t="shared" si="679"/>
        <v>16563.885286356795</v>
      </c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3.5" customHeight="1" outlineLevel="1" x14ac:dyDescent="0.3">
      <c r="A886" s="35"/>
      <c r="B886" s="35"/>
      <c r="C886" s="35"/>
      <c r="D886" s="35"/>
      <c r="E886" s="37"/>
      <c r="F886" s="36"/>
      <c r="G886" s="36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3.5" customHeight="1" outlineLevel="1" x14ac:dyDescent="0.3">
      <c r="A887" s="216" t="s">
        <v>593</v>
      </c>
      <c r="B887" s="216"/>
      <c r="C887" s="216"/>
      <c r="D887" s="216"/>
      <c r="E887" s="217"/>
      <c r="F887" s="218"/>
      <c r="G887" s="218"/>
      <c r="H887" s="217">
        <f t="shared" ref="H887:M887" si="680">H796-H806-H885</f>
        <v>0</v>
      </c>
      <c r="I887" s="217">
        <f t="shared" si="680"/>
        <v>3.4106051316484809E-13</v>
      </c>
      <c r="J887" s="217">
        <f t="shared" si="680"/>
        <v>0</v>
      </c>
      <c r="K887" s="217">
        <f t="shared" si="680"/>
        <v>0</v>
      </c>
      <c r="L887" s="217">
        <f t="shared" si="680"/>
        <v>0</v>
      </c>
      <c r="M887" s="217">
        <f t="shared" si="680"/>
        <v>0</v>
      </c>
      <c r="N887" s="217"/>
      <c r="O887" s="217"/>
      <c r="P887" s="217"/>
      <c r="Q887" s="217"/>
      <c r="R887" s="217"/>
      <c r="S887" s="217"/>
      <c r="T887" s="217"/>
      <c r="U887" s="217"/>
      <c r="V887" s="217"/>
      <c r="W887" s="217"/>
      <c r="X887" s="217"/>
      <c r="Y887" s="217"/>
      <c r="Z887" s="217"/>
    </row>
    <row r="888" spans="1:26" ht="13.5" customHeight="1" outlineLevel="1" x14ac:dyDescent="0.3">
      <c r="A888" s="35"/>
      <c r="B888" s="35"/>
      <c r="C888" s="35"/>
      <c r="D888" s="35"/>
      <c r="E888" s="37"/>
      <c r="F888" s="36"/>
      <c r="G888" s="36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3.5" customHeight="1" outlineLevel="1" x14ac:dyDescent="0.3">
      <c r="A889" s="152"/>
      <c r="B889" s="152"/>
      <c r="C889" s="152"/>
      <c r="D889" s="35"/>
      <c r="E889" s="36"/>
      <c r="F889" s="36" t="s">
        <v>163</v>
      </c>
      <c r="G889" s="36"/>
      <c r="H889" s="37" t="s">
        <v>81</v>
      </c>
      <c r="I889" s="37" t="s">
        <v>82</v>
      </c>
      <c r="J889" s="37" t="s">
        <v>83</v>
      </c>
      <c r="K889" s="37" t="s">
        <v>84</v>
      </c>
      <c r="L889" s="37" t="s">
        <v>85</v>
      </c>
      <c r="M889" s="37" t="s">
        <v>86</v>
      </c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3.5" customHeight="1" outlineLevel="1" x14ac:dyDescent="0.3">
      <c r="A890" s="219"/>
      <c r="B890" s="220"/>
      <c r="C890" s="220"/>
      <c r="D890" s="219" t="str">
        <f>D$58</f>
        <v>Misura</v>
      </c>
      <c r="E890" s="220" t="s">
        <v>115</v>
      </c>
      <c r="F890" s="220" t="s">
        <v>142</v>
      </c>
      <c r="G890" s="220"/>
      <c r="H890" s="221">
        <f t="shared" ref="H890:M890" si="681">H$58</f>
        <v>2022</v>
      </c>
      <c r="I890" s="221">
        <f t="shared" si="681"/>
        <v>2023</v>
      </c>
      <c r="J890" s="221">
        <f t="shared" si="681"/>
        <v>2024</v>
      </c>
      <c r="K890" s="221">
        <f t="shared" si="681"/>
        <v>2025</v>
      </c>
      <c r="L890" s="221">
        <f t="shared" si="681"/>
        <v>2026</v>
      </c>
      <c r="M890" s="221">
        <f t="shared" si="681"/>
        <v>2027</v>
      </c>
      <c r="N890" s="222"/>
      <c r="O890" s="222"/>
      <c r="P890" s="222"/>
      <c r="Q890" s="222"/>
      <c r="R890" s="222"/>
      <c r="S890" s="222"/>
      <c r="T890" s="222"/>
      <c r="U890" s="222"/>
      <c r="V890" s="222"/>
      <c r="W890" s="222"/>
      <c r="X890" s="222"/>
      <c r="Y890" s="222"/>
      <c r="Z890" s="222"/>
    </row>
    <row r="891" spans="1:26" ht="13.5" customHeight="1" outlineLevel="1" x14ac:dyDescent="0.3">
      <c r="A891" s="223" t="s">
        <v>594</v>
      </c>
      <c r="B891" s="223"/>
      <c r="C891" s="223"/>
      <c r="D891" s="223" t="s">
        <v>595</v>
      </c>
      <c r="E891" s="224"/>
      <c r="F891" s="225"/>
      <c r="G891" s="225"/>
      <c r="H891" s="226">
        <f t="shared" ref="H891:M891" si="682">DATE(H890,1,31)</f>
        <v>44592</v>
      </c>
      <c r="I891" s="226">
        <f t="shared" si="682"/>
        <v>44957</v>
      </c>
      <c r="J891" s="226">
        <f t="shared" si="682"/>
        <v>45322</v>
      </c>
      <c r="K891" s="226">
        <f t="shared" si="682"/>
        <v>45688</v>
      </c>
      <c r="L891" s="226">
        <f t="shared" si="682"/>
        <v>46053</v>
      </c>
      <c r="M891" s="226">
        <f t="shared" si="682"/>
        <v>46418</v>
      </c>
      <c r="N891" s="224"/>
      <c r="O891" s="224"/>
      <c r="P891" s="224"/>
      <c r="Q891" s="224"/>
      <c r="R891" s="224"/>
      <c r="S891" s="224"/>
      <c r="T891" s="224"/>
      <c r="U891" s="224"/>
      <c r="V891" s="224"/>
      <c r="W891" s="224"/>
      <c r="X891" s="224"/>
      <c r="Y891" s="224"/>
      <c r="Z891" s="224"/>
    </row>
    <row r="892" spans="1:26" ht="13.5" customHeight="1" outlineLevel="1" x14ac:dyDescent="0.3">
      <c r="A892" s="223"/>
      <c r="B892" s="223"/>
      <c r="C892" s="223"/>
      <c r="D892" s="223"/>
      <c r="E892" s="224"/>
      <c r="F892" s="225"/>
      <c r="G892" s="225"/>
      <c r="H892" s="226"/>
      <c r="I892" s="226"/>
      <c r="J892" s="226"/>
      <c r="K892" s="226"/>
      <c r="L892" s="226"/>
      <c r="M892" s="226"/>
      <c r="N892" s="224"/>
      <c r="O892" s="224"/>
      <c r="P892" s="224"/>
      <c r="Q892" s="224"/>
      <c r="R892" s="224"/>
      <c r="S892" s="224"/>
      <c r="T892" s="224"/>
      <c r="U892" s="224"/>
      <c r="V892" s="224"/>
      <c r="W892" s="224"/>
      <c r="X892" s="224"/>
      <c r="Y892" s="224"/>
      <c r="Z892" s="224"/>
    </row>
    <row r="893" spans="1:26" ht="13.5" customHeight="1" outlineLevel="1" x14ac:dyDescent="0.3">
      <c r="A893" s="223" t="str">
        <f>A876</f>
        <v>Dividendi corrisposti</v>
      </c>
      <c r="B893" s="223"/>
      <c r="C893" s="223"/>
      <c r="D893" s="144" t="s">
        <v>93</v>
      </c>
      <c r="E893" s="149"/>
      <c r="F893" s="149">
        <f t="shared" ref="F893:F895" si="683">SUM(H893:L893)</f>
        <v>0</v>
      </c>
      <c r="G893" s="149"/>
      <c r="H893" s="222">
        <f t="shared" ref="H893:M893" si="684">-H876</f>
        <v>0</v>
      </c>
      <c r="I893" s="222">
        <f t="shared" si="684"/>
        <v>0</v>
      </c>
      <c r="J893" s="222">
        <f t="shared" si="684"/>
        <v>0</v>
      </c>
      <c r="K893" s="222">
        <f t="shared" si="684"/>
        <v>0</v>
      </c>
      <c r="L893" s="222">
        <f t="shared" si="684"/>
        <v>0</v>
      </c>
      <c r="M893" s="222">
        <f t="shared" si="684"/>
        <v>0</v>
      </c>
      <c r="N893" s="224"/>
      <c r="O893" s="224"/>
      <c r="P893" s="224"/>
      <c r="Q893" s="224"/>
      <c r="R893" s="224"/>
      <c r="S893" s="224"/>
      <c r="T893" s="224"/>
      <c r="U893" s="224"/>
      <c r="V893" s="224"/>
      <c r="W893" s="224"/>
      <c r="X893" s="224"/>
      <c r="Y893" s="224"/>
      <c r="Z893" s="224"/>
    </row>
    <row r="894" spans="1:26" ht="13.5" customHeight="1" outlineLevel="1" x14ac:dyDescent="0.3">
      <c r="A894" s="223" t="str">
        <f>A878</f>
        <v>Flussi derivanti da aumenti di capitale e finanziamenti soci</v>
      </c>
      <c r="B894" s="223"/>
      <c r="C894" s="223"/>
      <c r="D894" s="144" t="s">
        <v>93</v>
      </c>
      <c r="E894" s="149"/>
      <c r="F894" s="149">
        <f t="shared" si="683"/>
        <v>-773</v>
      </c>
      <c r="G894" s="149"/>
      <c r="H894" s="222">
        <f t="shared" ref="H894:M894" si="685">-H878</f>
        <v>-773</v>
      </c>
      <c r="I894" s="222">
        <f t="shared" si="685"/>
        <v>0</v>
      </c>
      <c r="J894" s="222">
        <f t="shared" si="685"/>
        <v>0</v>
      </c>
      <c r="K894" s="222">
        <f t="shared" si="685"/>
        <v>0</v>
      </c>
      <c r="L894" s="222">
        <f t="shared" si="685"/>
        <v>0</v>
      </c>
      <c r="M894" s="222">
        <f t="shared" si="685"/>
        <v>0</v>
      </c>
      <c r="N894" s="224"/>
      <c r="O894" s="224"/>
      <c r="P894" s="224"/>
      <c r="Q894" s="224"/>
      <c r="R894" s="224"/>
      <c r="S894" s="224"/>
      <c r="T894" s="224"/>
      <c r="U894" s="224"/>
      <c r="V894" s="224"/>
      <c r="W894" s="224"/>
      <c r="X894" s="224"/>
      <c r="Y894" s="224"/>
      <c r="Z894" s="224"/>
    </row>
    <row r="895" spans="1:26" ht="13.5" customHeight="1" outlineLevel="1" x14ac:dyDescent="0.3">
      <c r="A895" s="227" t="s">
        <v>596</v>
      </c>
      <c r="B895" s="228" t="e">
        <f>XIRR(H895:L895,H891:L891)</f>
        <v>#NUM!</v>
      </c>
      <c r="C895" s="229"/>
      <c r="D895" s="230" t="s">
        <v>93</v>
      </c>
      <c r="E895" s="231"/>
      <c r="F895" s="232">
        <f t="shared" si="683"/>
        <v>-773</v>
      </c>
      <c r="G895" s="232"/>
      <c r="H895" s="231">
        <f t="shared" ref="H895:M895" si="686">H893+H894</f>
        <v>-773</v>
      </c>
      <c r="I895" s="231">
        <f t="shared" si="686"/>
        <v>0</v>
      </c>
      <c r="J895" s="231">
        <f t="shared" si="686"/>
        <v>0</v>
      </c>
      <c r="K895" s="231">
        <f t="shared" si="686"/>
        <v>0</v>
      </c>
      <c r="L895" s="231">
        <f t="shared" si="686"/>
        <v>0</v>
      </c>
      <c r="M895" s="231">
        <f t="shared" si="686"/>
        <v>0</v>
      </c>
      <c r="N895" s="231"/>
      <c r="O895" s="231"/>
      <c r="P895" s="231"/>
      <c r="Q895" s="231"/>
      <c r="R895" s="231"/>
      <c r="S895" s="231"/>
      <c r="T895" s="231"/>
      <c r="U895" s="231"/>
      <c r="V895" s="231"/>
      <c r="W895" s="231"/>
      <c r="X895" s="231"/>
      <c r="Y895" s="231"/>
      <c r="Z895" s="231"/>
    </row>
    <row r="896" spans="1:26" ht="13.5" customHeight="1" outlineLevel="1" x14ac:dyDescent="0.3">
      <c r="A896" s="223"/>
      <c r="B896" s="223"/>
      <c r="C896" s="223"/>
      <c r="D896" s="144"/>
      <c r="E896" s="149"/>
      <c r="F896" s="149"/>
      <c r="G896" s="149"/>
      <c r="H896" s="222"/>
      <c r="I896" s="222"/>
      <c r="J896" s="222"/>
      <c r="K896" s="222"/>
      <c r="L896" s="222"/>
      <c r="M896" s="222"/>
      <c r="N896" s="224"/>
      <c r="O896" s="224"/>
      <c r="P896" s="224"/>
      <c r="Q896" s="224"/>
      <c r="R896" s="224"/>
      <c r="S896" s="224"/>
      <c r="T896" s="224"/>
      <c r="U896" s="224"/>
      <c r="V896" s="224"/>
      <c r="W896" s="224"/>
      <c r="X896" s="224"/>
      <c r="Y896" s="224"/>
      <c r="Z896" s="224"/>
    </row>
    <row r="897" spans="1:26" ht="13.5" customHeight="1" outlineLevel="1" x14ac:dyDescent="0.3">
      <c r="A897" s="223" t="str">
        <f>A866</f>
        <v>Flussi di cassa netti generati dalle attività operative</v>
      </c>
      <c r="B897" s="223"/>
      <c r="C897" s="223"/>
      <c r="D897" s="144" t="s">
        <v>93</v>
      </c>
      <c r="E897" s="149"/>
      <c r="F897" s="149">
        <f t="shared" ref="F897:F898" si="687">SUM(H897:L897)</f>
        <v>21570.874994959577</v>
      </c>
      <c r="G897" s="149"/>
      <c r="H897" s="222">
        <f t="shared" ref="H897:M897" si="688">H866</f>
        <v>265.5799560691986</v>
      </c>
      <c r="I897" s="222">
        <f t="shared" si="688"/>
        <v>1694.4404651378366</v>
      </c>
      <c r="J897" s="222">
        <f t="shared" si="688"/>
        <v>3278.3199235203824</v>
      </c>
      <c r="K897" s="222">
        <f t="shared" si="688"/>
        <v>5726.1942595298069</v>
      </c>
      <c r="L897" s="222">
        <f t="shared" si="688"/>
        <v>10606.340390702353</v>
      </c>
      <c r="M897" s="222">
        <f t="shared" si="688"/>
        <v>12260.9205524272</v>
      </c>
      <c r="N897" s="224"/>
      <c r="O897" s="224"/>
      <c r="P897" s="224"/>
      <c r="Q897" s="224"/>
      <c r="R897" s="224"/>
      <c r="S897" s="224"/>
      <c r="T897" s="224"/>
      <c r="U897" s="224"/>
      <c r="V897" s="224"/>
      <c r="W897" s="224"/>
      <c r="X897" s="224"/>
      <c r="Y897" s="224"/>
      <c r="Z897" s="224"/>
    </row>
    <row r="898" spans="1:26" ht="13.5" customHeight="1" outlineLevel="1" x14ac:dyDescent="0.3">
      <c r="A898" s="223" t="str">
        <f>A870</f>
        <v>Flussi netti impiegati nelle attività di investimento</v>
      </c>
      <c r="B898" s="223"/>
      <c r="C898" s="223"/>
      <c r="D898" s="144" t="s">
        <v>93</v>
      </c>
      <c r="E898" s="149"/>
      <c r="F898" s="149">
        <f t="shared" si="687"/>
        <v>-24572.892090052253</v>
      </c>
      <c r="G898" s="149"/>
      <c r="H898" s="222">
        <f t="shared" ref="H898:M898" si="689">H870+H874+H875</f>
        <v>-2155.2051384738397</v>
      </c>
      <c r="I898" s="222">
        <f t="shared" si="689"/>
        <v>-3108.7910301742254</v>
      </c>
      <c r="J898" s="222">
        <f t="shared" si="689"/>
        <v>-3467.9000373445897</v>
      </c>
      <c r="K898" s="222">
        <f t="shared" si="689"/>
        <v>-5608.1266758390284</v>
      </c>
      <c r="L898" s="222">
        <f t="shared" si="689"/>
        <v>-10232.869208220569</v>
      </c>
      <c r="M898" s="222">
        <f t="shared" si="689"/>
        <v>-4110.3395406209456</v>
      </c>
      <c r="N898" s="224"/>
      <c r="O898" s="224"/>
      <c r="P898" s="224"/>
      <c r="Q898" s="224"/>
      <c r="R898" s="224"/>
      <c r="S898" s="224"/>
      <c r="T898" s="224"/>
      <c r="U898" s="224"/>
      <c r="V898" s="224"/>
      <c r="W898" s="224"/>
      <c r="X898" s="224"/>
      <c r="Y898" s="224"/>
      <c r="Z898" s="224"/>
    </row>
    <row r="899" spans="1:26" ht="13.5" customHeight="1" outlineLevel="1" x14ac:dyDescent="0.3">
      <c r="A899" s="223" t="str">
        <f>A875</f>
        <v>Interessi corrisposti</v>
      </c>
      <c r="B899" s="223"/>
      <c r="C899" s="223"/>
      <c r="D899" s="144" t="s">
        <v>93</v>
      </c>
      <c r="E899" s="149"/>
      <c r="F899" s="149" t="s">
        <v>597</v>
      </c>
      <c r="G899" s="149"/>
      <c r="H899" s="222">
        <f t="shared" ref="H899:M899" si="690">-H875</f>
        <v>24.723822472533172</v>
      </c>
      <c r="I899" s="222">
        <f t="shared" si="690"/>
        <v>55.543008541116492</v>
      </c>
      <c r="J899" s="222">
        <f t="shared" si="690"/>
        <v>84.344896552993646</v>
      </c>
      <c r="K899" s="222">
        <f t="shared" si="690"/>
        <v>130.12380892575862</v>
      </c>
      <c r="L899" s="222">
        <f t="shared" si="690"/>
        <v>217.13077887160057</v>
      </c>
      <c r="M899" s="222">
        <f t="shared" si="690"/>
        <v>217.13077887160057</v>
      </c>
      <c r="N899" s="224"/>
      <c r="O899" s="224"/>
      <c r="P899" s="224"/>
      <c r="Q899" s="224"/>
      <c r="R899" s="224"/>
      <c r="S899" s="224"/>
      <c r="T899" s="224"/>
      <c r="U899" s="224"/>
      <c r="V899" s="224"/>
      <c r="W899" s="224"/>
      <c r="X899" s="224"/>
      <c r="Y899" s="224"/>
      <c r="Z899" s="224"/>
    </row>
    <row r="900" spans="1:26" ht="13.5" customHeight="1" outlineLevel="1" x14ac:dyDescent="0.3">
      <c r="A900" s="227" t="s">
        <v>598</v>
      </c>
      <c r="B900" s="228">
        <f>IRR(H900:M900)</f>
        <v>0.25845160922522648</v>
      </c>
      <c r="C900" s="229"/>
      <c r="D900" s="230" t="s">
        <v>93</v>
      </c>
      <c r="E900" s="231"/>
      <c r="F900" s="232">
        <f>SUM(H900:L900)</f>
        <v>-2490.1507797286722</v>
      </c>
      <c r="G900" s="232"/>
      <c r="H900" s="231">
        <f t="shared" ref="H900:M900" si="691">SUM(H897:H899)</f>
        <v>-1864.9013599321081</v>
      </c>
      <c r="I900" s="231">
        <f t="shared" si="691"/>
        <v>-1358.8075564952724</v>
      </c>
      <c r="J900" s="231">
        <f t="shared" si="691"/>
        <v>-105.23521727121363</v>
      </c>
      <c r="K900" s="231">
        <f t="shared" si="691"/>
        <v>248.19139261653714</v>
      </c>
      <c r="L900" s="231">
        <f t="shared" si="691"/>
        <v>590.6019613533847</v>
      </c>
      <c r="M900" s="231">
        <f t="shared" si="691"/>
        <v>8367.7117906778549</v>
      </c>
      <c r="N900" s="231"/>
      <c r="O900" s="231"/>
      <c r="P900" s="231"/>
      <c r="Q900" s="231"/>
      <c r="R900" s="231"/>
      <c r="S900" s="231"/>
      <c r="T900" s="231"/>
      <c r="U900" s="231"/>
      <c r="V900" s="231"/>
      <c r="W900" s="231"/>
      <c r="X900" s="231"/>
      <c r="Y900" s="231"/>
      <c r="Z900" s="231"/>
    </row>
    <row r="901" spans="1:26" ht="13.5" customHeight="1" outlineLevel="1" x14ac:dyDescent="0.3">
      <c r="A901" s="233"/>
      <c r="B901" s="234"/>
      <c r="C901" s="234"/>
      <c r="D901" s="234"/>
      <c r="E901" s="235"/>
      <c r="F901" s="236"/>
      <c r="G901" s="236"/>
      <c r="H901" s="237"/>
      <c r="I901" s="237"/>
      <c r="J901" s="237"/>
      <c r="K901" s="237"/>
      <c r="L901" s="237"/>
      <c r="M901" s="237"/>
      <c r="N901" s="237"/>
      <c r="O901" s="237"/>
      <c r="P901" s="237"/>
      <c r="Q901" s="237"/>
      <c r="R901" s="237"/>
      <c r="S901" s="237"/>
      <c r="T901" s="237"/>
      <c r="U901" s="237"/>
      <c r="V901" s="237"/>
      <c r="W901" s="237"/>
      <c r="X901" s="237"/>
      <c r="Y901" s="237"/>
      <c r="Z901" s="237"/>
    </row>
    <row r="902" spans="1:26" ht="12" customHeight="1" outlineLevel="1" x14ac:dyDescent="0.3">
      <c r="A902" s="227" t="s">
        <v>599</v>
      </c>
      <c r="B902" s="238">
        <f t="array" ref="B902">NPV(E902,H902:L902)</f>
        <v>-2412.2113098184063</v>
      </c>
      <c r="C902" s="229"/>
      <c r="D902" s="230" t="s">
        <v>93</v>
      </c>
      <c r="E902" s="239">
        <v>6.5000000000000002E-2</v>
      </c>
      <c r="F902" s="232">
        <f>SUM(H902:L902)</f>
        <v>-2490.1507797286722</v>
      </c>
      <c r="G902" s="232"/>
      <c r="H902" s="231">
        <f t="shared" ref="H902:M902" si="692">H900</f>
        <v>-1864.9013599321081</v>
      </c>
      <c r="I902" s="231">
        <f t="shared" si="692"/>
        <v>-1358.8075564952724</v>
      </c>
      <c r="J902" s="231">
        <f t="shared" si="692"/>
        <v>-105.23521727121363</v>
      </c>
      <c r="K902" s="231">
        <f t="shared" si="692"/>
        <v>248.19139261653714</v>
      </c>
      <c r="L902" s="231">
        <f t="shared" si="692"/>
        <v>590.6019613533847</v>
      </c>
      <c r="M902" s="231">
        <f t="shared" si="692"/>
        <v>8367.7117906778549</v>
      </c>
      <c r="N902" s="231"/>
      <c r="O902" s="231"/>
      <c r="P902" s="231"/>
      <c r="Q902" s="231"/>
      <c r="R902" s="231"/>
      <c r="S902" s="231"/>
      <c r="T902" s="231"/>
      <c r="U902" s="231"/>
      <c r="V902" s="231"/>
      <c r="W902" s="231"/>
      <c r="X902" s="231"/>
      <c r="Y902" s="231"/>
      <c r="Z902" s="231"/>
    </row>
    <row r="903" spans="1:26" ht="13.5" customHeight="1" x14ac:dyDescent="0.3">
      <c r="A903" s="229"/>
      <c r="B903" s="229"/>
      <c r="C903" s="229"/>
      <c r="D903" s="229"/>
      <c r="E903" s="231"/>
      <c r="F903" s="240"/>
      <c r="G903" s="240"/>
      <c r="H903" s="232"/>
      <c r="I903" s="232"/>
      <c r="J903" s="232"/>
      <c r="K903" s="232"/>
      <c r="L903" s="232"/>
      <c r="M903" s="232"/>
      <c r="N903" s="231"/>
      <c r="O903" s="231"/>
      <c r="P903" s="231"/>
      <c r="Q903" s="231"/>
      <c r="R903" s="231"/>
      <c r="S903" s="231"/>
      <c r="T903" s="231"/>
      <c r="U903" s="231"/>
      <c r="V903" s="231"/>
      <c r="W903" s="231"/>
      <c r="X903" s="231"/>
      <c r="Y903" s="231"/>
      <c r="Z903" s="231"/>
    </row>
    <row r="904" spans="1:26" ht="13.5" customHeight="1" x14ac:dyDescent="0.3">
      <c r="A904" s="35"/>
      <c r="B904" s="35"/>
      <c r="C904" s="35"/>
      <c r="D904" s="35"/>
      <c r="E904" s="36"/>
      <c r="F904" s="107"/>
      <c r="G904" s="107"/>
      <c r="H904" s="46"/>
      <c r="I904" s="46"/>
      <c r="J904" s="46"/>
      <c r="K904" s="46"/>
      <c r="L904" s="46"/>
      <c r="M904" s="46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3.5" customHeight="1" x14ac:dyDescent="0.3">
      <c r="A905" s="35"/>
      <c r="B905" s="35"/>
      <c r="C905" s="35"/>
      <c r="D905" s="35"/>
      <c r="E905" s="37"/>
      <c r="F905" s="36"/>
      <c r="G905" s="36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3.5" customHeight="1" x14ac:dyDescent="0.3">
      <c r="A906" s="35"/>
      <c r="B906" s="35"/>
      <c r="C906" s="35"/>
      <c r="D906" s="35"/>
      <c r="E906" s="37"/>
      <c r="F906" s="36"/>
      <c r="G906" s="36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3.5" customHeight="1" x14ac:dyDescent="0.3">
      <c r="A907" s="35"/>
      <c r="B907" s="35"/>
      <c r="C907" s="35"/>
      <c r="D907" s="35"/>
      <c r="E907" s="37"/>
      <c r="F907" s="36"/>
      <c r="G907" s="36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3.5" customHeight="1" x14ac:dyDescent="0.3">
      <c r="A908" s="35"/>
      <c r="B908" s="35"/>
      <c r="C908" s="35"/>
      <c r="D908" s="35"/>
      <c r="E908" s="37"/>
      <c r="F908" s="36"/>
      <c r="G908" s="36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3.5" customHeight="1" x14ac:dyDescent="0.3">
      <c r="A909" s="35"/>
      <c r="B909" s="35"/>
      <c r="C909" s="35"/>
      <c r="D909" s="35"/>
      <c r="E909" s="37"/>
      <c r="F909" s="36"/>
      <c r="G909" s="36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3.5" customHeight="1" x14ac:dyDescent="0.3">
      <c r="A910" s="35"/>
      <c r="B910" s="35"/>
      <c r="C910" s="35"/>
      <c r="D910" s="35"/>
      <c r="E910" s="37"/>
      <c r="F910" s="36"/>
      <c r="G910" s="36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3.5" customHeight="1" x14ac:dyDescent="0.3">
      <c r="A911" s="35"/>
      <c r="B911" s="35"/>
      <c r="C911" s="35"/>
      <c r="D911" s="35"/>
      <c r="E911" s="37"/>
      <c r="F911" s="36"/>
      <c r="G911" s="36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3.5" customHeight="1" x14ac:dyDescent="0.3">
      <c r="A912" s="35"/>
      <c r="B912" s="35"/>
      <c r="C912" s="35"/>
      <c r="D912" s="35"/>
      <c r="E912" s="37"/>
      <c r="F912" s="36"/>
      <c r="G912" s="36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3.5" customHeight="1" x14ac:dyDescent="0.3">
      <c r="A913" s="35"/>
      <c r="B913" s="35"/>
      <c r="C913" s="35"/>
      <c r="D913" s="35"/>
      <c r="E913" s="37"/>
      <c r="F913" s="36"/>
      <c r="G913" s="36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3.5" customHeight="1" x14ac:dyDescent="0.3">
      <c r="A914" s="35"/>
      <c r="B914" s="35"/>
      <c r="C914" s="35"/>
      <c r="D914" s="35"/>
      <c r="E914" s="37"/>
      <c r="F914" s="36"/>
      <c r="G914" s="36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3.5" customHeight="1" x14ac:dyDescent="0.3">
      <c r="A915" s="35"/>
      <c r="B915" s="35"/>
      <c r="C915" s="35"/>
      <c r="D915" s="35"/>
      <c r="E915" s="37"/>
      <c r="F915" s="36"/>
      <c r="G915" s="36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3.5" customHeight="1" x14ac:dyDescent="0.3">
      <c r="A916" s="35"/>
      <c r="B916" s="35"/>
      <c r="C916" s="35"/>
      <c r="D916" s="35"/>
      <c r="E916" s="37"/>
      <c r="F916" s="36"/>
      <c r="G916" s="36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3.5" customHeight="1" x14ac:dyDescent="0.3">
      <c r="A917" s="35"/>
      <c r="B917" s="35"/>
      <c r="C917" s="35"/>
      <c r="D917" s="35"/>
      <c r="E917" s="37"/>
      <c r="F917" s="36"/>
      <c r="G917" s="36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3.5" customHeight="1" x14ac:dyDescent="0.3">
      <c r="A918" s="35"/>
      <c r="B918" s="35"/>
      <c r="C918" s="35"/>
      <c r="D918" s="35"/>
      <c r="E918" s="37"/>
      <c r="F918" s="36"/>
      <c r="G918" s="36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3.5" customHeight="1" x14ac:dyDescent="0.3">
      <c r="A919" s="35"/>
      <c r="B919" s="35"/>
      <c r="C919" s="35"/>
      <c r="D919" s="35"/>
      <c r="E919" s="37"/>
      <c r="F919" s="36"/>
      <c r="G919" s="36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3.5" customHeight="1" x14ac:dyDescent="0.3">
      <c r="A920" s="35"/>
      <c r="B920" s="35"/>
      <c r="C920" s="35"/>
      <c r="D920" s="35"/>
      <c r="E920" s="37"/>
      <c r="F920" s="36"/>
      <c r="G920" s="36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3.5" customHeight="1" x14ac:dyDescent="0.3">
      <c r="A921" s="35"/>
      <c r="B921" s="35"/>
      <c r="C921" s="35"/>
      <c r="D921" s="35"/>
      <c r="E921" s="37"/>
      <c r="F921" s="36"/>
      <c r="G921" s="36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3.5" customHeight="1" x14ac:dyDescent="0.3">
      <c r="A922" s="35"/>
      <c r="B922" s="35"/>
      <c r="C922" s="35"/>
      <c r="D922" s="35"/>
      <c r="E922" s="37"/>
      <c r="F922" s="36"/>
      <c r="G922" s="36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3.5" customHeight="1" x14ac:dyDescent="0.3">
      <c r="A923" s="35"/>
      <c r="B923" s="35"/>
      <c r="C923" s="35"/>
      <c r="D923" s="35"/>
      <c r="E923" s="37"/>
      <c r="F923" s="36"/>
      <c r="G923" s="36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3.5" customHeight="1" x14ac:dyDescent="0.3">
      <c r="A924" s="35"/>
      <c r="B924" s="35"/>
      <c r="C924" s="35"/>
      <c r="D924" s="35"/>
      <c r="E924" s="37"/>
      <c r="F924" s="36"/>
      <c r="G924" s="36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3.5" customHeight="1" x14ac:dyDescent="0.3">
      <c r="A925" s="35"/>
      <c r="B925" s="35"/>
      <c r="C925" s="35"/>
      <c r="D925" s="35"/>
      <c r="E925" s="37"/>
      <c r="F925" s="36"/>
      <c r="G925" s="36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3.5" customHeight="1" x14ac:dyDescent="0.3">
      <c r="A926" s="35"/>
      <c r="B926" s="35"/>
      <c r="C926" s="35"/>
      <c r="D926" s="35"/>
      <c r="E926" s="37"/>
      <c r="F926" s="36"/>
      <c r="G926" s="36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3.5" customHeight="1" x14ac:dyDescent="0.3">
      <c r="A927" s="35"/>
      <c r="B927" s="35"/>
      <c r="C927" s="35"/>
      <c r="D927" s="35"/>
      <c r="E927" s="37"/>
      <c r="F927" s="36"/>
      <c r="G927" s="36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3.5" customHeight="1" x14ac:dyDescent="0.3">
      <c r="A928" s="35"/>
      <c r="B928" s="35"/>
      <c r="C928" s="35"/>
      <c r="D928" s="35"/>
      <c r="E928" s="37"/>
      <c r="F928" s="36"/>
      <c r="G928" s="36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3.5" customHeight="1" x14ac:dyDescent="0.3">
      <c r="A929" s="35"/>
      <c r="B929" s="35"/>
      <c r="C929" s="35"/>
      <c r="D929" s="35"/>
      <c r="E929" s="37"/>
      <c r="F929" s="36"/>
      <c r="G929" s="36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3.5" customHeight="1" x14ac:dyDescent="0.3">
      <c r="A930" s="35"/>
      <c r="B930" s="35"/>
      <c r="C930" s="35"/>
      <c r="D930" s="35"/>
      <c r="E930" s="37"/>
      <c r="F930" s="36"/>
      <c r="G930" s="36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3.5" customHeight="1" x14ac:dyDescent="0.3">
      <c r="A931" s="35"/>
      <c r="B931" s="35"/>
      <c r="C931" s="35"/>
      <c r="D931" s="35"/>
      <c r="E931" s="37"/>
      <c r="F931" s="36"/>
      <c r="G931" s="36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3.5" customHeight="1" x14ac:dyDescent="0.3">
      <c r="A932" s="35"/>
      <c r="B932" s="35"/>
      <c r="C932" s="35"/>
      <c r="D932" s="35"/>
      <c r="E932" s="37"/>
      <c r="F932" s="36"/>
      <c r="G932" s="36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3.5" customHeight="1" x14ac:dyDescent="0.3">
      <c r="A933" s="35"/>
      <c r="B933" s="35"/>
      <c r="C933" s="35"/>
      <c r="D933" s="35"/>
      <c r="E933" s="37"/>
      <c r="F933" s="36"/>
      <c r="G933" s="36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3.5" customHeight="1" x14ac:dyDescent="0.3">
      <c r="A934" s="35"/>
      <c r="B934" s="35"/>
      <c r="C934" s="35"/>
      <c r="D934" s="35"/>
      <c r="E934" s="37"/>
      <c r="F934" s="36"/>
      <c r="G934" s="36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3.5" customHeight="1" x14ac:dyDescent="0.3">
      <c r="A935" s="35"/>
      <c r="B935" s="35"/>
      <c r="C935" s="35"/>
      <c r="D935" s="35"/>
      <c r="E935" s="37"/>
      <c r="F935" s="36"/>
      <c r="G935" s="36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3.5" customHeight="1" x14ac:dyDescent="0.3">
      <c r="A936" s="35"/>
      <c r="B936" s="35"/>
      <c r="C936" s="35"/>
      <c r="D936" s="35"/>
      <c r="E936" s="37"/>
      <c r="F936" s="36"/>
      <c r="G936" s="36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3.5" customHeight="1" x14ac:dyDescent="0.3">
      <c r="A937" s="35"/>
      <c r="B937" s="35"/>
      <c r="C937" s="35"/>
      <c r="D937" s="35"/>
      <c r="E937" s="37"/>
      <c r="F937" s="36"/>
      <c r="G937" s="36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3.5" customHeight="1" x14ac:dyDescent="0.3">
      <c r="A938" s="35"/>
      <c r="B938" s="35"/>
      <c r="C938" s="35"/>
      <c r="D938" s="35"/>
      <c r="E938" s="37"/>
      <c r="F938" s="36"/>
      <c r="G938" s="36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3.5" customHeight="1" x14ac:dyDescent="0.3">
      <c r="A939" s="35"/>
      <c r="B939" s="35"/>
      <c r="C939" s="35"/>
      <c r="D939" s="35"/>
      <c r="E939" s="37"/>
      <c r="F939" s="36"/>
      <c r="G939" s="36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3.5" customHeight="1" x14ac:dyDescent="0.3">
      <c r="A940" s="35"/>
      <c r="B940" s="35"/>
      <c r="C940" s="35"/>
      <c r="D940" s="35"/>
      <c r="E940" s="37"/>
      <c r="F940" s="36"/>
      <c r="G940" s="36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3.5" customHeight="1" x14ac:dyDescent="0.3">
      <c r="A941" s="35"/>
      <c r="B941" s="35"/>
      <c r="C941" s="35"/>
      <c r="D941" s="35"/>
      <c r="E941" s="37"/>
      <c r="F941" s="36"/>
      <c r="G941" s="36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3.5" customHeight="1" x14ac:dyDescent="0.3">
      <c r="A942" s="35"/>
      <c r="B942" s="35"/>
      <c r="C942" s="35"/>
      <c r="D942" s="35"/>
      <c r="E942" s="37"/>
      <c r="F942" s="36"/>
      <c r="G942" s="36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3.5" customHeight="1" x14ac:dyDescent="0.3">
      <c r="A943" s="35"/>
      <c r="B943" s="35"/>
      <c r="C943" s="35"/>
      <c r="D943" s="35"/>
      <c r="E943" s="37"/>
      <c r="F943" s="36"/>
      <c r="G943" s="36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3.5" customHeight="1" x14ac:dyDescent="0.3">
      <c r="A944" s="35"/>
      <c r="B944" s="35"/>
      <c r="C944" s="35"/>
      <c r="D944" s="35"/>
      <c r="E944" s="37"/>
      <c r="F944" s="36"/>
      <c r="G944" s="36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3.5" customHeight="1" x14ac:dyDescent="0.3">
      <c r="A945" s="35"/>
      <c r="B945" s="35"/>
      <c r="C945" s="35"/>
      <c r="D945" s="35"/>
      <c r="E945" s="37"/>
      <c r="F945" s="36"/>
      <c r="G945" s="36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3.5" customHeight="1" x14ac:dyDescent="0.3">
      <c r="A946" s="35"/>
      <c r="B946" s="35"/>
      <c r="C946" s="35"/>
      <c r="D946" s="35"/>
      <c r="E946" s="37"/>
      <c r="F946" s="36"/>
      <c r="G946" s="36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3.5" customHeight="1" x14ac:dyDescent="0.3">
      <c r="A947" s="35"/>
      <c r="B947" s="35"/>
      <c r="C947" s="35"/>
      <c r="D947" s="35"/>
      <c r="E947" s="37"/>
      <c r="F947" s="36"/>
      <c r="G947" s="36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3.5" customHeight="1" x14ac:dyDescent="0.3">
      <c r="A948" s="35"/>
      <c r="B948" s="35"/>
      <c r="C948" s="35"/>
      <c r="D948" s="35"/>
      <c r="E948" s="37"/>
      <c r="F948" s="36"/>
      <c r="G948" s="36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3.5" customHeight="1" x14ac:dyDescent="0.3">
      <c r="A949" s="35"/>
      <c r="B949" s="35"/>
      <c r="C949" s="35"/>
      <c r="D949" s="35"/>
      <c r="E949" s="37"/>
      <c r="F949" s="36"/>
      <c r="G949" s="36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3.5" customHeight="1" x14ac:dyDescent="0.3">
      <c r="A950" s="35"/>
      <c r="B950" s="35"/>
      <c r="C950" s="35"/>
      <c r="D950" s="35"/>
      <c r="E950" s="37"/>
      <c r="F950" s="36"/>
      <c r="G950" s="36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3.5" customHeight="1" x14ac:dyDescent="0.3">
      <c r="A951" s="35"/>
      <c r="B951" s="35"/>
      <c r="C951" s="35"/>
      <c r="D951" s="35"/>
      <c r="E951" s="37"/>
      <c r="F951" s="36"/>
      <c r="G951" s="36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3.5" customHeight="1" x14ac:dyDescent="0.3">
      <c r="A952" s="35"/>
      <c r="B952" s="35"/>
      <c r="C952" s="35"/>
      <c r="D952" s="35"/>
      <c r="E952" s="37"/>
      <c r="F952" s="36"/>
      <c r="G952" s="36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3.5" customHeight="1" x14ac:dyDescent="0.3">
      <c r="A953" s="35"/>
      <c r="B953" s="35"/>
      <c r="C953" s="35"/>
      <c r="D953" s="35"/>
      <c r="E953" s="37"/>
      <c r="F953" s="36"/>
      <c r="G953" s="36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3.5" customHeight="1" x14ac:dyDescent="0.3">
      <c r="A954" s="35"/>
      <c r="B954" s="35"/>
      <c r="C954" s="35"/>
      <c r="D954" s="35"/>
      <c r="E954" s="37"/>
      <c r="F954" s="36"/>
      <c r="G954" s="36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3.5" customHeight="1" x14ac:dyDescent="0.3">
      <c r="A955" s="35"/>
      <c r="B955" s="35"/>
      <c r="C955" s="35"/>
      <c r="D955" s="35"/>
      <c r="E955" s="37"/>
      <c r="F955" s="36"/>
      <c r="G955" s="36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3.5" customHeight="1" x14ac:dyDescent="0.3">
      <c r="A956" s="35"/>
      <c r="B956" s="35"/>
      <c r="C956" s="35"/>
      <c r="D956" s="35"/>
      <c r="E956" s="37"/>
      <c r="F956" s="36"/>
      <c r="G956" s="36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3.5" customHeight="1" x14ac:dyDescent="0.3">
      <c r="A957" s="35"/>
      <c r="B957" s="35"/>
      <c r="C957" s="35"/>
      <c r="D957" s="35"/>
      <c r="E957" s="37"/>
      <c r="F957" s="36"/>
      <c r="G957" s="36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3.5" customHeight="1" x14ac:dyDescent="0.3">
      <c r="A958" s="35"/>
      <c r="B958" s="35"/>
      <c r="C958" s="35"/>
      <c r="D958" s="35"/>
      <c r="E958" s="37"/>
      <c r="F958" s="36"/>
      <c r="G958" s="36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3.5" customHeight="1" x14ac:dyDescent="0.3">
      <c r="A959" s="35"/>
      <c r="B959" s="35"/>
      <c r="C959" s="35"/>
      <c r="D959" s="35"/>
      <c r="E959" s="37"/>
      <c r="F959" s="36"/>
      <c r="G959" s="36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3.5" customHeight="1" x14ac:dyDescent="0.3">
      <c r="A960" s="35"/>
      <c r="B960" s="35"/>
      <c r="C960" s="35"/>
      <c r="D960" s="35"/>
      <c r="E960" s="37"/>
      <c r="F960" s="36"/>
      <c r="G960" s="36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3.5" customHeight="1" x14ac:dyDescent="0.3">
      <c r="A961" s="35"/>
      <c r="B961" s="35"/>
      <c r="C961" s="35"/>
      <c r="D961" s="35"/>
      <c r="E961" s="37"/>
      <c r="F961" s="36"/>
      <c r="G961" s="36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3.5" customHeight="1" x14ac:dyDescent="0.3">
      <c r="A962" s="35"/>
      <c r="B962" s="35"/>
      <c r="C962" s="35"/>
      <c r="D962" s="35"/>
      <c r="E962" s="37"/>
      <c r="F962" s="36"/>
      <c r="G962" s="36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3.5" customHeight="1" x14ac:dyDescent="0.3">
      <c r="A963" s="35"/>
      <c r="B963" s="35"/>
      <c r="C963" s="35"/>
      <c r="D963" s="35"/>
      <c r="E963" s="37"/>
      <c r="F963" s="36"/>
      <c r="G963" s="36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3.5" customHeight="1" x14ac:dyDescent="0.3">
      <c r="A964" s="35"/>
      <c r="B964" s="35"/>
      <c r="C964" s="35"/>
      <c r="D964" s="35"/>
      <c r="E964" s="37"/>
      <c r="F964" s="36"/>
      <c r="G964" s="36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3.5" customHeight="1" x14ac:dyDescent="0.3">
      <c r="A965" s="35"/>
      <c r="B965" s="35"/>
      <c r="C965" s="35"/>
      <c r="D965" s="35"/>
      <c r="E965" s="37"/>
      <c r="F965" s="36"/>
      <c r="G965" s="36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3.5" customHeight="1" x14ac:dyDescent="0.3">
      <c r="A966" s="35"/>
      <c r="B966" s="35"/>
      <c r="C966" s="35"/>
      <c r="D966" s="35"/>
      <c r="E966" s="37"/>
      <c r="F966" s="36"/>
      <c r="G966" s="36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3.5" customHeight="1" x14ac:dyDescent="0.3">
      <c r="A967" s="35"/>
      <c r="B967" s="35"/>
      <c r="C967" s="35"/>
      <c r="D967" s="35"/>
      <c r="E967" s="37"/>
      <c r="F967" s="36"/>
      <c r="G967" s="36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3.5" customHeight="1" x14ac:dyDescent="0.3">
      <c r="A968" s="35"/>
      <c r="B968" s="35"/>
      <c r="C968" s="35"/>
      <c r="D968" s="35"/>
      <c r="E968" s="37"/>
      <c r="F968" s="36"/>
      <c r="G968" s="36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3.5" customHeight="1" x14ac:dyDescent="0.3">
      <c r="A969" s="35"/>
      <c r="B969" s="35"/>
      <c r="C969" s="35"/>
      <c r="D969" s="35"/>
      <c r="E969" s="37"/>
      <c r="F969" s="36"/>
      <c r="G969" s="36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3.5" customHeight="1" x14ac:dyDescent="0.3">
      <c r="A970" s="35"/>
      <c r="B970" s="35"/>
      <c r="C970" s="35"/>
      <c r="D970" s="35"/>
      <c r="E970" s="37"/>
      <c r="F970" s="36"/>
      <c r="G970" s="36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3.5" customHeight="1" x14ac:dyDescent="0.3">
      <c r="A971" s="35"/>
      <c r="B971" s="35"/>
      <c r="C971" s="35"/>
      <c r="D971" s="35"/>
      <c r="E971" s="37"/>
      <c r="F971" s="36"/>
      <c r="G971" s="36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3.5" customHeight="1" x14ac:dyDescent="0.3">
      <c r="A972" s="35"/>
      <c r="B972" s="35"/>
      <c r="C972" s="35"/>
      <c r="D972" s="35"/>
      <c r="E972" s="37"/>
      <c r="F972" s="36"/>
      <c r="G972" s="36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3.5" customHeight="1" x14ac:dyDescent="0.3">
      <c r="A973" s="35"/>
      <c r="B973" s="35"/>
      <c r="C973" s="35"/>
      <c r="D973" s="35"/>
      <c r="E973" s="37"/>
      <c r="F973" s="36"/>
      <c r="G973" s="36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3.5" customHeight="1" x14ac:dyDescent="0.3">
      <c r="A974" s="35"/>
      <c r="B974" s="35"/>
      <c r="C974" s="35"/>
      <c r="D974" s="35"/>
      <c r="E974" s="37"/>
      <c r="F974" s="36"/>
      <c r="G974" s="36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3.5" customHeight="1" x14ac:dyDescent="0.3">
      <c r="A975" s="35"/>
      <c r="B975" s="35"/>
      <c r="C975" s="35"/>
      <c r="D975" s="35"/>
      <c r="E975" s="37"/>
      <c r="F975" s="36"/>
      <c r="G975" s="36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3.5" customHeight="1" x14ac:dyDescent="0.3">
      <c r="A976" s="35"/>
      <c r="B976" s="35"/>
      <c r="C976" s="35"/>
      <c r="D976" s="35"/>
      <c r="E976" s="37"/>
      <c r="F976" s="36"/>
      <c r="G976" s="36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3.5" customHeight="1" x14ac:dyDescent="0.3">
      <c r="A977" s="35"/>
      <c r="B977" s="35"/>
      <c r="C977" s="35"/>
      <c r="D977" s="35"/>
      <c r="E977" s="37"/>
      <c r="F977" s="36"/>
      <c r="G977" s="36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3.5" customHeight="1" x14ac:dyDescent="0.3">
      <c r="A978" s="35"/>
      <c r="B978" s="35"/>
      <c r="C978" s="35"/>
      <c r="D978" s="35"/>
      <c r="E978" s="37"/>
      <c r="F978" s="36"/>
      <c r="G978" s="36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3.5" customHeight="1" x14ac:dyDescent="0.3">
      <c r="A979" s="35"/>
      <c r="B979" s="35"/>
      <c r="C979" s="35"/>
      <c r="D979" s="35"/>
      <c r="E979" s="37"/>
      <c r="F979" s="36"/>
      <c r="G979" s="36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3.5" customHeight="1" x14ac:dyDescent="0.3">
      <c r="A980" s="35"/>
      <c r="B980" s="35"/>
      <c r="C980" s="35"/>
      <c r="D980" s="35"/>
      <c r="E980" s="37"/>
      <c r="F980" s="36"/>
      <c r="G980" s="36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3.5" customHeight="1" x14ac:dyDescent="0.3">
      <c r="A981" s="35"/>
      <c r="B981" s="35"/>
      <c r="C981" s="35"/>
      <c r="D981" s="35"/>
      <c r="E981" s="37"/>
      <c r="F981" s="36"/>
      <c r="G981" s="36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3.5" customHeight="1" x14ac:dyDescent="0.3">
      <c r="A982" s="35"/>
      <c r="B982" s="35"/>
      <c r="C982" s="35"/>
      <c r="D982" s="35"/>
      <c r="E982" s="37"/>
      <c r="F982" s="36"/>
      <c r="G982" s="36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3.5" customHeight="1" x14ac:dyDescent="0.3">
      <c r="A983" s="35"/>
      <c r="B983" s="35"/>
      <c r="C983" s="35"/>
      <c r="D983" s="35"/>
      <c r="E983" s="37"/>
      <c r="F983" s="36"/>
      <c r="G983" s="36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3.5" customHeight="1" x14ac:dyDescent="0.3">
      <c r="A984" s="35"/>
      <c r="B984" s="35"/>
      <c r="C984" s="35"/>
      <c r="D984" s="35"/>
      <c r="E984" s="37"/>
      <c r="F984" s="36"/>
      <c r="G984" s="36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3.5" customHeight="1" x14ac:dyDescent="0.3">
      <c r="A985" s="35"/>
      <c r="B985" s="35"/>
      <c r="C985" s="35"/>
      <c r="D985" s="35"/>
      <c r="E985" s="37"/>
      <c r="F985" s="36"/>
      <c r="G985" s="36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3.5" customHeight="1" x14ac:dyDescent="0.3">
      <c r="A986" s="35"/>
      <c r="B986" s="35"/>
      <c r="C986" s="35"/>
      <c r="D986" s="35"/>
      <c r="E986" s="37"/>
      <c r="F986" s="36"/>
      <c r="G986" s="36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3.5" customHeight="1" x14ac:dyDescent="0.3">
      <c r="A987" s="35"/>
      <c r="B987" s="35"/>
      <c r="C987" s="35"/>
      <c r="D987" s="35"/>
      <c r="E987" s="37"/>
      <c r="F987" s="36"/>
      <c r="G987" s="36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3.5" customHeight="1" x14ac:dyDescent="0.3">
      <c r="A988" s="35"/>
      <c r="B988" s="35"/>
      <c r="C988" s="35"/>
      <c r="D988" s="35"/>
      <c r="E988" s="37"/>
      <c r="F988" s="36"/>
      <c r="G988" s="36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3.5" customHeight="1" x14ac:dyDescent="0.3">
      <c r="A989" s="35"/>
      <c r="B989" s="35"/>
      <c r="C989" s="35"/>
      <c r="D989" s="35"/>
      <c r="E989" s="37"/>
      <c r="F989" s="36"/>
      <c r="G989" s="36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3.5" customHeight="1" x14ac:dyDescent="0.3">
      <c r="A990" s="35"/>
      <c r="B990" s="35"/>
      <c r="C990" s="35"/>
      <c r="D990" s="35"/>
      <c r="E990" s="37"/>
      <c r="F990" s="36"/>
      <c r="G990" s="36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3.5" customHeight="1" x14ac:dyDescent="0.3">
      <c r="A991" s="35"/>
      <c r="B991" s="35"/>
      <c r="C991" s="35"/>
      <c r="D991" s="35"/>
      <c r="E991" s="37"/>
      <c r="F991" s="36"/>
      <c r="G991" s="36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3.5" customHeight="1" x14ac:dyDescent="0.3">
      <c r="A992" s="35"/>
      <c r="B992" s="35"/>
      <c r="C992" s="35"/>
      <c r="D992" s="35"/>
      <c r="E992" s="37"/>
      <c r="F992" s="36"/>
      <c r="G992" s="36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3.5" customHeight="1" x14ac:dyDescent="0.3">
      <c r="A993" s="35"/>
      <c r="B993" s="35"/>
      <c r="C993" s="35"/>
      <c r="D993" s="35"/>
      <c r="E993" s="37"/>
      <c r="F993" s="36"/>
      <c r="G993" s="36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3.5" customHeight="1" x14ac:dyDescent="0.3">
      <c r="A994" s="35"/>
      <c r="B994" s="35"/>
      <c r="C994" s="35"/>
      <c r="D994" s="35"/>
      <c r="E994" s="37"/>
      <c r="F994" s="36"/>
      <c r="G994" s="36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3.5" customHeight="1" x14ac:dyDescent="0.3">
      <c r="A995" s="35"/>
      <c r="B995" s="35"/>
      <c r="C995" s="35"/>
      <c r="D995" s="35"/>
      <c r="E995" s="37"/>
      <c r="F995" s="36"/>
      <c r="G995" s="36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3.5" customHeight="1" x14ac:dyDescent="0.3">
      <c r="A996" s="35"/>
      <c r="B996" s="35"/>
      <c r="C996" s="35"/>
      <c r="D996" s="35"/>
      <c r="E996" s="37"/>
      <c r="F996" s="36"/>
      <c r="G996" s="36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3.5" customHeight="1" x14ac:dyDescent="0.3">
      <c r="A997" s="35"/>
      <c r="B997" s="35"/>
      <c r="C997" s="35"/>
      <c r="D997" s="35"/>
      <c r="E997" s="37"/>
      <c r="F997" s="36"/>
      <c r="G997" s="36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3.5" customHeight="1" x14ac:dyDescent="0.3">
      <c r="A998" s="35"/>
      <c r="B998" s="35"/>
      <c r="C998" s="35"/>
      <c r="D998" s="35"/>
      <c r="E998" s="37"/>
      <c r="F998" s="36"/>
      <c r="G998" s="36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3.5" customHeight="1" x14ac:dyDescent="0.3">
      <c r="A999" s="35"/>
      <c r="B999" s="35"/>
      <c r="C999" s="35"/>
      <c r="D999" s="35"/>
      <c r="E999" s="37"/>
      <c r="F999" s="36"/>
      <c r="G999" s="36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3.5" customHeight="1" x14ac:dyDescent="0.3">
      <c r="A1000" s="35"/>
      <c r="B1000" s="35"/>
      <c r="C1000" s="35"/>
      <c r="D1000" s="35"/>
      <c r="E1000" s="37"/>
      <c r="F1000" s="36"/>
      <c r="G1000" s="36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conditionalFormatting sqref="H414:M414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5">
    <dataValidation type="decimal" operator="greaterThan" allowBlank="1" showInputMessage="1" showErrorMessage="1" prompt="Anni ammortamento - Il numero di anni deve essere maggiore o uguale a 1" sqref="D618:M618 E800 H800:M800" xr:uid="{00000000-0002-0000-0700-000000000000}">
      <formula1>1</formula1>
    </dataValidation>
    <dataValidation type="list" allowBlank="1" showInputMessage="1" showErrorMessage="1" prompt="Altri oneri a progetto - Selezionare YES se ci sono altri oneri da capitalizzare a progetto" sqref="C546" xr:uid="{00000000-0002-0000-0700-000001000000}">
      <formula1>"YES,NO"</formula1>
    </dataValidation>
    <dataValidation type="list" allowBlank="1" showInputMessage="1" showErrorMessage="1" prompt="Finanziamento IVA - Selezionare YES se si vuole che anche l'IVA sui fixed assets sia finanziata" sqref="C626" xr:uid="{00000000-0002-0000-0700-000002000000}">
      <formula1>"YES,NO"</formula1>
    </dataValidation>
    <dataValidation type="decimal" operator="greaterThanOrEqual" allowBlank="1" showInputMessage="1" showErrorMessage="1" prompt="Anni ammortamento - Devono essere numeri interi &gt;=1" sqref="E539:G539 E548:G548" xr:uid="{00000000-0002-0000-0700-000003000000}">
      <formula1>1</formula1>
    </dataValidation>
    <dataValidation type="list" allowBlank="1" showInputMessage="1" showErrorMessage="1" prompt="Finanziamento Altri oneri - Selezionare YES se si vuole che anche gli altri oneri a progetto siano finanziati" sqref="C627" xr:uid="{00000000-0002-0000-0700-000004000000}">
      <formula1>"YES,NO"</formula1>
    </dataValidation>
  </dataValidations>
  <pageMargins left="0.7" right="0.7" top="0.75" bottom="0.75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Modèle de plan de trésorerie</vt:lpstr>
      <vt:lpstr>assumptions</vt:lpstr>
      <vt:lpstr>SINTESI</vt:lpstr>
      <vt:lpstr>Profit&amp;loss</vt:lpstr>
      <vt:lpstr>Balance Sheet</vt:lpstr>
      <vt:lpstr>Cash Flow</vt:lpstr>
      <vt:lpstr>BP Spirulina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Zacchi Cossetti</dc:creator>
  <cp:lastModifiedBy>ALAIN IOZZINO</cp:lastModifiedBy>
  <dcterms:created xsi:type="dcterms:W3CDTF">2010-09-28T09:37:40Z</dcterms:created>
  <dcterms:modified xsi:type="dcterms:W3CDTF">2024-10-17T07:30:52Z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0x0101004EE5F672F8670A4D9548106D09730B6A</vt:lpwstr>
  </property>
</Properties>
</file>